
<file path=[Content_Types].xml><?xml version="1.0" encoding="utf-8"?>
<Types xmlns="http://schemas.openxmlformats.org/package/2006/content-types">
  <Default Extension="emf" ContentType="image/x-emf"/>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xml"/>
  <Override PartName="/xl/charts/chart3.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autoCompressPictures="0" defaultThemeVersion="124226"/>
  <bookViews>
    <workbookView xWindow="0" yWindow="0" windowWidth="25440" windowHeight="15555"/>
  </bookViews>
  <sheets>
    <sheet name="Title" sheetId="7" r:id="rId1"/>
    <sheet name="Income Statement" sheetId="1" r:id="rId2"/>
    <sheet name="Cost of Production" sheetId="2" r:id="rId3"/>
    <sheet name="Corn-Soys" sheetId="6" r:id="rId4"/>
    <sheet name="Alfalfa-Corn" sheetId="3" r:id="rId5"/>
  </sheets>
  <definedNames>
    <definedName name="Alfalfa_price____Ton__for_4_Ton">'Alfalfa-Corn'!$D$35:$D$45</definedName>
    <definedName name="Alfalfa_price____Ton__for_5_Ton">'Alfalfa-Corn'!$E$35:$E$45</definedName>
    <definedName name="_xlnm.Print_Area" localSheetId="2">'Cost of Production'!$A$1:$I$113</definedName>
    <definedName name="_xlnm.Print_Area" localSheetId="1">'Income Statement'!$A$1:$F$44</definedName>
  </definedNames>
  <calcPr calcId="145621"/>
  <extLst>
    <ext xmlns:mx="http://schemas.microsoft.com/office/mac/excel/2008/main" uri="{7523E5D3-25F3-A5E0-1632-64F254C22452}">
      <mx:ArchID Flags="2"/>
    </ext>
  </extLst>
</workbook>
</file>

<file path=xl/calcChain.xml><?xml version="1.0" encoding="utf-8"?>
<calcChain xmlns="http://schemas.openxmlformats.org/spreadsheetml/2006/main">
  <c r="F19" i="2" l="1"/>
  <c r="H19" i="2"/>
  <c r="C24" i="1"/>
  <c r="G5" i="2"/>
  <c r="G6" i="2" s="1"/>
  <c r="G20" i="2" s="1"/>
  <c r="G16" i="2"/>
  <c r="C14" i="2"/>
  <c r="G14" i="2" s="1"/>
  <c r="K14" i="2" s="1"/>
  <c r="E24" i="1" s="1"/>
  <c r="D5" i="2"/>
  <c r="D6" i="2" s="1"/>
  <c r="D20" i="2" s="1"/>
  <c r="E6" i="2"/>
  <c r="E20" i="2"/>
  <c r="F6" i="2"/>
  <c r="F20" i="2" s="1"/>
  <c r="H4" i="2"/>
  <c r="H5" i="2"/>
  <c r="H6" i="2" s="1"/>
  <c r="H20" i="2" s="1"/>
  <c r="I6" i="2"/>
  <c r="I20" i="2"/>
  <c r="C6" i="2"/>
  <c r="C20" i="2" s="1"/>
  <c r="C35" i="1"/>
  <c r="C43" i="2"/>
  <c r="F14" i="2"/>
  <c r="E14" i="2"/>
  <c r="D14" i="2"/>
  <c r="H14" i="2"/>
  <c r="G15" i="2"/>
  <c r="C41" i="1"/>
  <c r="C26" i="1"/>
  <c r="C9" i="2"/>
  <c r="H9" i="2" s="1"/>
  <c r="D9" i="2"/>
  <c r="E9" i="2"/>
  <c r="F9" i="2"/>
  <c r="G9" i="2"/>
  <c r="C36" i="1"/>
  <c r="C37" i="1"/>
  <c r="C34" i="1"/>
  <c r="C20" i="1"/>
  <c r="C21" i="1"/>
  <c r="B9" i="1"/>
  <c r="B6" i="1"/>
  <c r="B5" i="1"/>
  <c r="E2" i="2"/>
  <c r="C2" i="2"/>
  <c r="D2" i="2" s="1"/>
  <c r="N14" i="2" s="1"/>
  <c r="K15" i="2"/>
  <c r="G32" i="1"/>
  <c r="G27" i="1"/>
  <c r="E66" i="2" s="1"/>
  <c r="C30" i="2"/>
  <c r="D18" i="1" s="1"/>
  <c r="D37" i="1" s="1"/>
  <c r="G19" i="2"/>
  <c r="E19" i="2"/>
  <c r="D19" i="2"/>
  <c r="C19" i="2"/>
  <c r="G18" i="2"/>
  <c r="C18" i="2"/>
  <c r="G13" i="2"/>
  <c r="C13" i="2"/>
  <c r="K13" i="2"/>
  <c r="L11" i="2"/>
  <c r="L14" i="2" s="1"/>
  <c r="L12" i="2"/>
  <c r="L15" i="2"/>
  <c r="L10" i="2"/>
  <c r="L13" i="2" s="1"/>
  <c r="P9" i="2"/>
  <c r="P11" i="2"/>
  <c r="O9" i="2"/>
  <c r="O10" i="2" s="1"/>
  <c r="N9" i="2"/>
  <c r="N10" i="2"/>
  <c r="M9" i="2"/>
  <c r="M11" i="2" s="1"/>
  <c r="M14" i="2" s="1"/>
  <c r="Q9" i="2"/>
  <c r="H16" i="2"/>
  <c r="K16" i="2" s="1"/>
  <c r="H11" i="2"/>
  <c r="H12" i="2"/>
  <c r="K12" i="2"/>
  <c r="K17" i="2"/>
  <c r="K21" i="2"/>
  <c r="E106" i="2"/>
  <c r="D106" i="2"/>
  <c r="L9" i="6"/>
  <c r="L8" i="6" s="1"/>
  <c r="K28" i="6" s="1"/>
  <c r="G11" i="2"/>
  <c r="E18" i="2"/>
  <c r="D18" i="2"/>
  <c r="C38" i="2"/>
  <c r="C31" i="2"/>
  <c r="D87" i="2" s="1"/>
  <c r="F18" i="2"/>
  <c r="C32" i="2"/>
  <c r="C33" i="2"/>
  <c r="C34" i="2"/>
  <c r="C35" i="2"/>
  <c r="C36" i="2"/>
  <c r="C37" i="2"/>
  <c r="C39" i="2"/>
  <c r="D86" i="2" s="1"/>
  <c r="F106" i="2"/>
  <c r="C106" i="2"/>
  <c r="I106" i="2"/>
  <c r="E11" i="1"/>
  <c r="E12" i="1"/>
  <c r="D69" i="2" s="1"/>
  <c r="D72" i="2"/>
  <c r="D70" i="2"/>
  <c r="I48" i="2"/>
  <c r="I55" i="2" s="1"/>
  <c r="I26" i="2"/>
  <c r="D9" i="3"/>
  <c r="D8" i="3"/>
  <c r="D28" i="3" s="1"/>
  <c r="E32" i="3"/>
  <c r="D32" i="3"/>
  <c r="J1" i="6"/>
  <c r="H1" i="6"/>
  <c r="D9" i="6"/>
  <c r="M24" i="6" s="1"/>
  <c r="G35" i="6" s="1"/>
  <c r="G40" i="6" s="1"/>
  <c r="H9" i="6"/>
  <c r="H8" i="6" s="1"/>
  <c r="E27" i="6" s="1"/>
  <c r="P9" i="3"/>
  <c r="P8" i="3"/>
  <c r="L27" i="3" s="1"/>
  <c r="H9" i="3"/>
  <c r="H10" i="3" s="1"/>
  <c r="G27" i="3" s="1"/>
  <c r="N22" i="3"/>
  <c r="C36" i="3"/>
  <c r="C37" i="3" s="1"/>
  <c r="C38" i="3" s="1"/>
  <c r="C39" i="3" s="1"/>
  <c r="C40" i="3" s="1"/>
  <c r="C41" i="3" s="1"/>
  <c r="C42" i="3" s="1"/>
  <c r="C43" i="3" s="1"/>
  <c r="C44" i="3" s="1"/>
  <c r="C45" i="3" s="1"/>
  <c r="C36" i="6"/>
  <c r="C37" i="6" s="1"/>
  <c r="C38" i="6" s="1"/>
  <c r="C39" i="6" s="1"/>
  <c r="C40" i="6" s="1"/>
  <c r="C41" i="6" s="1"/>
  <c r="C42" i="6" s="1"/>
  <c r="C43" i="6" s="1"/>
  <c r="C44" i="6" s="1"/>
  <c r="C45" i="6" s="1"/>
  <c r="C46" i="6" s="1"/>
  <c r="C47" i="6" s="1"/>
  <c r="I22" i="2"/>
  <c r="I49" i="2" s="1"/>
  <c r="I51" i="2" s="1"/>
  <c r="I102" i="2" s="1"/>
  <c r="I108" i="2" s="1"/>
  <c r="I109" i="2" s="1"/>
  <c r="I113" i="2" s="1"/>
  <c r="C48" i="2"/>
  <c r="C55" i="2" s="1"/>
  <c r="D48" i="2"/>
  <c r="D55" i="2" s="1"/>
  <c r="E48" i="2"/>
  <c r="E55" i="2" s="1"/>
  <c r="F48" i="2"/>
  <c r="F55" i="2" s="1"/>
  <c r="G48" i="2"/>
  <c r="G55" i="2" s="1"/>
  <c r="H48" i="2"/>
  <c r="H55" i="2" s="1"/>
  <c r="A54" i="2"/>
  <c r="C73" i="2"/>
  <c r="A102" i="2"/>
  <c r="A103" i="2"/>
  <c r="A104" i="2"/>
  <c r="E5" i="1"/>
  <c r="E13" i="1" s="1"/>
  <c r="E6" i="1"/>
  <c r="E7" i="1"/>
  <c r="E8" i="1"/>
  <c r="E9" i="1"/>
  <c r="E10" i="1"/>
  <c r="B13" i="1"/>
  <c r="C13" i="1"/>
  <c r="D13" i="1"/>
  <c r="F41" i="1"/>
  <c r="C43" i="1"/>
  <c r="D43" i="1" s="1"/>
  <c r="P9" i="6"/>
  <c r="P8" i="6"/>
  <c r="L27" i="6" s="1"/>
  <c r="L9" i="3"/>
  <c r="K29" i="3" s="1"/>
  <c r="N11" i="2"/>
  <c r="G41" i="1"/>
  <c r="K11" i="2"/>
  <c r="E21" i="1" s="1"/>
  <c r="M10" i="2"/>
  <c r="M13" i="2" s="1"/>
  <c r="H18" i="2"/>
  <c r="M12" i="2"/>
  <c r="M15" i="2"/>
  <c r="K19" i="2"/>
  <c r="E29" i="1" s="1"/>
  <c r="D25" i="1"/>
  <c r="C44" i="1"/>
  <c r="E26" i="1"/>
  <c r="F24" i="3"/>
  <c r="H106" i="2"/>
  <c r="G106" i="2"/>
  <c r="F26" i="2"/>
  <c r="H19" i="3" s="1"/>
  <c r="E27" i="1"/>
  <c r="M24" i="3"/>
  <c r="G35" i="3"/>
  <c r="D26" i="2"/>
  <c r="H19" i="6" s="1"/>
  <c r="O11" i="2"/>
  <c r="O14" i="2"/>
  <c r="N13" i="2"/>
  <c r="G26" i="2"/>
  <c r="D29" i="6"/>
  <c r="P10" i="3"/>
  <c r="N27" i="3"/>
  <c r="D22" i="1"/>
  <c r="P10" i="2"/>
  <c r="P13" i="2" s="1"/>
  <c r="P12" i="2"/>
  <c r="P15" i="2" s="1"/>
  <c r="D29" i="3"/>
  <c r="D42" i="1"/>
  <c r="D10" i="3"/>
  <c r="D30" i="3" s="1"/>
  <c r="P10" i="6"/>
  <c r="N27" i="6" s="1"/>
  <c r="I27" i="2"/>
  <c r="N12" i="2"/>
  <c r="N15" i="2" s="1"/>
  <c r="O12" i="2"/>
  <c r="L8" i="3"/>
  <c r="K28" i="3" s="1"/>
  <c r="E26" i="2"/>
  <c r="M27" i="3"/>
  <c r="D10" i="6"/>
  <c r="D30" i="6" s="1"/>
  <c r="F24" i="6"/>
  <c r="D8" i="6"/>
  <c r="D28" i="6" s="1"/>
  <c r="C40" i="2"/>
  <c r="C44" i="2" s="1"/>
  <c r="F27" i="6"/>
  <c r="O15" i="2"/>
  <c r="E10" i="2"/>
  <c r="E22" i="2" s="1"/>
  <c r="E27" i="2" s="1"/>
  <c r="H10" i="2"/>
  <c r="O13" i="2"/>
  <c r="O16" i="2" s="1"/>
  <c r="O17" i="2" s="1"/>
  <c r="K29" i="6"/>
  <c r="L10" i="6"/>
  <c r="K30" i="6" s="1"/>
  <c r="M27" i="6"/>
  <c r="F27" i="3"/>
  <c r="H10" i="6"/>
  <c r="G27" i="6" s="1"/>
  <c r="H8" i="3"/>
  <c r="E27" i="3"/>
  <c r="Q12" i="2"/>
  <c r="Q15" i="2" s="1"/>
  <c r="Q10" i="2"/>
  <c r="Q13" i="2" s="1"/>
  <c r="Q11" i="2"/>
  <c r="K20" i="2"/>
  <c r="E30" i="1" s="1"/>
  <c r="C26" i="2"/>
  <c r="M16" i="2"/>
  <c r="M17" i="2" s="1"/>
  <c r="E60" i="2"/>
  <c r="E24" i="2"/>
  <c r="I110" i="2"/>
  <c r="I112" i="2"/>
  <c r="G39" i="6"/>
  <c r="H22" i="2"/>
  <c r="H15" i="6"/>
  <c r="H15" i="3"/>
  <c r="P16" i="2" l="1"/>
  <c r="P17" i="2" s="1"/>
  <c r="F30" i="1"/>
  <c r="H58" i="2"/>
  <c r="H62" i="2" s="1"/>
  <c r="H24" i="2"/>
  <c r="H27" i="2"/>
  <c r="H60" i="2"/>
  <c r="Q16" i="2"/>
  <c r="Q17" i="2" s="1"/>
  <c r="C46" i="2"/>
  <c r="H49" i="2" s="1"/>
  <c r="H51" i="2" s="1"/>
  <c r="H102" i="2" s="1"/>
  <c r="H108" i="2" s="1"/>
  <c r="H109" i="2" s="1"/>
  <c r="D68" i="2"/>
  <c r="D74" i="2" s="1"/>
  <c r="E58" i="2"/>
  <c r="E62" i="2" s="1"/>
  <c r="E49" i="2"/>
  <c r="E51" i="2" s="1"/>
  <c r="E102" i="2" s="1"/>
  <c r="E108" i="2" s="1"/>
  <c r="E109" i="2" s="1"/>
  <c r="N16" i="2"/>
  <c r="N17" i="2" s="1"/>
  <c r="F101" i="2"/>
  <c r="F105" i="2" s="1"/>
  <c r="F78" i="2"/>
  <c r="F96" i="2" s="1"/>
  <c r="I101" i="2"/>
  <c r="I105" i="2" s="1"/>
  <c r="I78" i="2"/>
  <c r="I96" i="2" s="1"/>
  <c r="Q14" i="2"/>
  <c r="E101" i="2"/>
  <c r="E105" i="2" s="1"/>
  <c r="E78" i="2"/>
  <c r="E96" i="2" s="1"/>
  <c r="H26" i="2"/>
  <c r="K18" i="2"/>
  <c r="E28" i="1" s="1"/>
  <c r="H78" i="2"/>
  <c r="H96" i="2" s="1"/>
  <c r="H101" i="2"/>
  <c r="H105" i="2" s="1"/>
  <c r="D101" i="2"/>
  <c r="D105" i="2" s="1"/>
  <c r="D78" i="2"/>
  <c r="D96" i="2" s="1"/>
  <c r="E25" i="1"/>
  <c r="F25" i="1" s="1"/>
  <c r="D34" i="1"/>
  <c r="D23" i="1"/>
  <c r="D40" i="1"/>
  <c r="D24" i="1"/>
  <c r="F24" i="1" s="1"/>
  <c r="D26" i="1"/>
  <c r="F26" i="1" s="1"/>
  <c r="D19" i="1"/>
  <c r="D20" i="1"/>
  <c r="E31" i="1"/>
  <c r="F31" i="1" s="1"/>
  <c r="D27" i="1"/>
  <c r="F27" i="1" s="1"/>
  <c r="D21" i="1"/>
  <c r="F21" i="1" s="1"/>
  <c r="D38" i="1"/>
  <c r="E22" i="1"/>
  <c r="F22" i="1" s="1"/>
  <c r="D35" i="1"/>
  <c r="D36" i="1"/>
  <c r="D30" i="1"/>
  <c r="E23" i="1"/>
  <c r="F23" i="1" s="1"/>
  <c r="D29" i="1"/>
  <c r="F29" i="1" s="1"/>
  <c r="D31" i="1"/>
  <c r="D28" i="1"/>
  <c r="D41" i="1"/>
  <c r="D39" i="1"/>
  <c r="P14" i="2"/>
  <c r="G10" i="2"/>
  <c r="G22" i="2" s="1"/>
  <c r="C10" i="2"/>
  <c r="F10" i="2"/>
  <c r="F22" i="2" s="1"/>
  <c r="G78" i="2"/>
  <c r="G96" i="2" s="1"/>
  <c r="G101" i="2"/>
  <c r="G105" i="2" s="1"/>
  <c r="C78" i="2"/>
  <c r="C96" i="2" s="1"/>
  <c r="C101" i="2"/>
  <c r="C105" i="2" s="1"/>
  <c r="I58" i="2"/>
  <c r="I62" i="2" s="1"/>
  <c r="I79" i="2" s="1"/>
  <c r="I81" i="2" s="1"/>
  <c r="K9" i="2"/>
  <c r="I24" i="2"/>
  <c r="I60" i="2"/>
  <c r="D10" i="2"/>
  <c r="D22" i="2" s="1"/>
  <c r="L10" i="3"/>
  <c r="K30" i="3" s="1"/>
  <c r="H112" i="2" l="1"/>
  <c r="H113" i="2"/>
  <c r="H110" i="2"/>
  <c r="F24" i="2"/>
  <c r="F60" i="2"/>
  <c r="F27" i="2"/>
  <c r="H18" i="3" s="1"/>
  <c r="F49" i="2"/>
  <c r="F51" i="2" s="1"/>
  <c r="F102" i="2" s="1"/>
  <c r="F108" i="2" s="1"/>
  <c r="F109" i="2" s="1"/>
  <c r="F58" i="2"/>
  <c r="F62" i="2" s="1"/>
  <c r="E19" i="1"/>
  <c r="G60" i="2"/>
  <c r="G49" i="2"/>
  <c r="G51" i="2" s="1"/>
  <c r="G102" i="2" s="1"/>
  <c r="G108" i="2" s="1"/>
  <c r="G109" i="2" s="1"/>
  <c r="G24" i="2"/>
  <c r="G58" i="2"/>
  <c r="G62" i="2" s="1"/>
  <c r="G79" i="2" s="1"/>
  <c r="G81" i="2" s="1"/>
  <c r="G27" i="2"/>
  <c r="F28" i="1"/>
  <c r="D85" i="2"/>
  <c r="D90" i="2" s="1"/>
  <c r="D92" i="2" s="1"/>
  <c r="D75" i="2"/>
  <c r="H79" i="2" s="1"/>
  <c r="H81" i="2" s="1"/>
  <c r="D24" i="2"/>
  <c r="D27" i="2"/>
  <c r="H18" i="6" s="1"/>
  <c r="D49" i="2"/>
  <c r="D51" i="2" s="1"/>
  <c r="D102" i="2" s="1"/>
  <c r="D108" i="2" s="1"/>
  <c r="D109" i="2" s="1"/>
  <c r="D60" i="2"/>
  <c r="D58" i="2"/>
  <c r="D62" i="2" s="1"/>
  <c r="I97" i="2"/>
  <c r="I99" i="2" s="1"/>
  <c r="I104" i="2" s="1"/>
  <c r="I103" i="2"/>
  <c r="D32" i="1"/>
  <c r="E112" i="2"/>
  <c r="E113" i="2"/>
  <c r="E110" i="2"/>
  <c r="C22" i="2"/>
  <c r="K10" i="2"/>
  <c r="E20" i="1" s="1"/>
  <c r="F20" i="1" s="1"/>
  <c r="E79" i="2"/>
  <c r="E81" i="2" s="1"/>
  <c r="H97" i="2" l="1"/>
  <c r="H99" i="2" s="1"/>
  <c r="H104" i="2" s="1"/>
  <c r="H103" i="2"/>
  <c r="G103" i="2"/>
  <c r="G97" i="2"/>
  <c r="G99" i="2" s="1"/>
  <c r="G104" i="2" s="1"/>
  <c r="E32" i="1"/>
  <c r="F32" i="1" s="1"/>
  <c r="F19" i="1"/>
  <c r="C58" i="2"/>
  <c r="C62" i="2" s="1"/>
  <c r="C49" i="2"/>
  <c r="C51" i="2" s="1"/>
  <c r="C102" i="2" s="1"/>
  <c r="C108" i="2" s="1"/>
  <c r="C109" i="2" s="1"/>
  <c r="C24" i="2"/>
  <c r="C27" i="2"/>
  <c r="C60" i="2"/>
  <c r="D79" i="2"/>
  <c r="D81" i="2" s="1"/>
  <c r="D25" i="2"/>
  <c r="G110" i="2"/>
  <c r="G112" i="2"/>
  <c r="G113" i="2"/>
  <c r="F79" i="2"/>
  <c r="F81" i="2" s="1"/>
  <c r="F25" i="2"/>
  <c r="D112" i="2"/>
  <c r="D113" i="2"/>
  <c r="D110" i="2"/>
  <c r="G25" i="2"/>
  <c r="F110" i="2"/>
  <c r="F112" i="2"/>
  <c r="F113" i="2"/>
  <c r="E103" i="2"/>
  <c r="E97" i="2"/>
  <c r="E99" i="2" s="1"/>
  <c r="E104" i="2" s="1"/>
  <c r="K22" i="2"/>
  <c r="C79" i="2" l="1"/>
  <c r="C81" i="2" s="1"/>
  <c r="E65" i="2"/>
  <c r="H14" i="3"/>
  <c r="H14" i="6"/>
  <c r="F97" i="2"/>
  <c r="F99" i="2" s="1"/>
  <c r="F104" i="2" s="1"/>
  <c r="F103" i="2"/>
  <c r="E25" i="2"/>
  <c r="H25" i="2"/>
  <c r="D97" i="2"/>
  <c r="D99" i="2" s="1"/>
  <c r="D104" i="2" s="1"/>
  <c r="D103" i="2"/>
  <c r="C112" i="2"/>
  <c r="C110" i="2"/>
  <c r="C111" i="2" s="1"/>
  <c r="C113" i="2"/>
  <c r="E41" i="3" l="1"/>
  <c r="L29" i="3"/>
  <c r="F28" i="3"/>
  <c r="D43" i="3"/>
  <c r="D36" i="3"/>
  <c r="D35" i="3"/>
  <c r="G28" i="3"/>
  <c r="N28" i="3"/>
  <c r="G29" i="3"/>
  <c r="E36" i="3"/>
  <c r="F30" i="3"/>
  <c r="E28" i="3"/>
  <c r="N29" i="3"/>
  <c r="E37" i="3"/>
  <c r="E43" i="3"/>
  <c r="M29" i="3"/>
  <c r="D40" i="3"/>
  <c r="M28" i="3"/>
  <c r="E45" i="3"/>
  <c r="E35" i="3"/>
  <c r="D39" i="3"/>
  <c r="E39" i="3"/>
  <c r="F29" i="3"/>
  <c r="E29" i="3"/>
  <c r="D37" i="3"/>
  <c r="E38" i="3"/>
  <c r="L28" i="3"/>
  <c r="E40" i="3"/>
  <c r="D42" i="3"/>
  <c r="E42" i="3"/>
  <c r="D44" i="3"/>
  <c r="E30" i="3"/>
  <c r="E44" i="3"/>
  <c r="D41" i="3"/>
  <c r="G30" i="3"/>
  <c r="D38" i="3"/>
  <c r="D45" i="3"/>
  <c r="N30" i="3"/>
  <c r="M30" i="3"/>
  <c r="L30" i="3"/>
  <c r="D94" i="2"/>
  <c r="E67" i="2"/>
  <c r="D76" i="2"/>
  <c r="H27" i="1"/>
  <c r="G28" i="1" s="1"/>
  <c r="C97" i="2"/>
  <c r="C99" i="2" s="1"/>
  <c r="C104" i="2" s="1"/>
  <c r="C103" i="2"/>
  <c r="G29" i="6"/>
  <c r="D35" i="6"/>
  <c r="E44" i="6"/>
  <c r="E35" i="6"/>
  <c r="N30" i="6"/>
  <c r="E40" i="6"/>
  <c r="E42" i="6"/>
  <c r="G30" i="6"/>
  <c r="D41" i="6"/>
  <c r="F30" i="6"/>
  <c r="L30" i="6"/>
  <c r="D42" i="6"/>
  <c r="F28" i="6"/>
  <c r="D39" i="6"/>
  <c r="L28" i="6"/>
  <c r="E29" i="6"/>
  <c r="E30" i="6"/>
  <c r="D46" i="6"/>
  <c r="D44" i="6"/>
  <c r="E45" i="6"/>
  <c r="E41" i="6"/>
  <c r="E39" i="6"/>
  <c r="N29" i="6"/>
  <c r="M30" i="6"/>
  <c r="N28" i="6"/>
  <c r="D43" i="6"/>
  <c r="D37" i="6"/>
  <c r="D40" i="6"/>
  <c r="F29" i="6"/>
  <c r="E36" i="6"/>
  <c r="D45" i="6"/>
  <c r="G28" i="6"/>
  <c r="E37" i="6"/>
  <c r="E38" i="6"/>
  <c r="M29" i="6"/>
  <c r="E46" i="6"/>
  <c r="D38" i="6"/>
  <c r="L29" i="6"/>
  <c r="D47" i="6"/>
  <c r="E28" i="6"/>
  <c r="E47" i="6"/>
  <c r="D36" i="6"/>
  <c r="E43" i="6"/>
  <c r="M28" i="6"/>
</calcChain>
</file>

<file path=xl/sharedStrings.xml><?xml version="1.0" encoding="utf-8"?>
<sst xmlns="http://schemas.openxmlformats.org/spreadsheetml/2006/main" count="322" uniqueCount="272">
  <si>
    <t>SOYS</t>
  </si>
  <si>
    <t>1. Paid on Yield per Acre in Bushels</t>
  </si>
  <si>
    <t>3. EQUALS Gross Income per Acre            =</t>
  </si>
  <si>
    <t>DIRECT COST/AC</t>
  </si>
  <si>
    <t xml:space="preserve"> 4. Seed </t>
  </si>
  <si>
    <t xml:space="preserve"> 5. Fertilizer</t>
  </si>
  <si>
    <t>10. Crop Repairs</t>
  </si>
  <si>
    <t>12. Crop Utilities</t>
  </si>
  <si>
    <t>15. Crop Insurance</t>
  </si>
  <si>
    <t>18. GROSS MARGIN=G.I.-D.C./Ac</t>
  </si>
  <si>
    <t>Column 1</t>
  </si>
  <si>
    <t>1.Gross Margin can be used in determining which crops will contribute</t>
  </si>
  <si>
    <t xml:space="preserve">19. Acres Cropped        </t>
  </si>
  <si>
    <t xml:space="preserve">20. Interest </t>
  </si>
  <si>
    <t xml:space="preserve">2. Accounting Costs of Production is the summation of direct </t>
  </si>
  <si>
    <t>variable (or allocable) and of overhead (or non-allocable) cost.</t>
  </si>
  <si>
    <t>22. Land Rents</t>
  </si>
  <si>
    <t>3. Economic Costs is the summation of total accounting costs plus</t>
  </si>
  <si>
    <t xml:space="preserve">23. Machinery Leases </t>
  </si>
  <si>
    <t>the opportunity costs of resources used in the business; e.g. for</t>
  </si>
  <si>
    <t>24. Real Estate Taxes</t>
  </si>
  <si>
    <t>equity capital and for unpaid family labor. Being able to price a</t>
  </si>
  <si>
    <t xml:space="preserve">25. Farm Insurance </t>
  </si>
  <si>
    <t xml:space="preserve">commodity at your economic cost would provide the returns to unpaid </t>
  </si>
  <si>
    <t xml:space="preserve">resources (lines 30 and 31). Selling at less than the economic cost </t>
  </si>
  <si>
    <t>27. Other Expenses</t>
  </si>
  <si>
    <t xml:space="preserve">indicates that the price received is not adequate to earn the desired </t>
  </si>
  <si>
    <t>28. Depreciation</t>
  </si>
  <si>
    <t>rates of return on unpaid resources.</t>
  </si>
  <si>
    <t>29. Total Accounting Overhead Cost</t>
  </si>
  <si>
    <t xml:space="preserve">ADD (lines 20 through lines 28) </t>
  </si>
  <si>
    <t>30. Value of Unpaid Labor</t>
  </si>
  <si>
    <t>4.Economic Cost includes a value for any unpaid labor.</t>
  </si>
  <si>
    <t>31. Value of Unpaid Equity Capital</t>
  </si>
  <si>
    <t xml:space="preserve">5.Economic Cost includes opportunity cost of Equity. (6%? of Net Worth) </t>
  </si>
  <si>
    <t>32. Total Economic Overhead Cost</t>
  </si>
  <si>
    <t xml:space="preserve">ADD(lines 29, 30 and 31) </t>
  </si>
  <si>
    <t>33. Total Economic Overhead Cost/Ac</t>
  </si>
  <si>
    <t>(line 32) DIVIDED BY (line 19)</t>
  </si>
  <si>
    <t>34. Total Economic Costs/Ac</t>
  </si>
  <si>
    <t xml:space="preserve">          (line 17 for each crop) PLUS (line33)</t>
  </si>
  <si>
    <t xml:space="preserve">         For each crop (line 34) DIVIDED BY (line 1)</t>
  </si>
  <si>
    <t xml:space="preserve"> COST OF PRODUCTION WORKSHEET - Page 3</t>
  </si>
  <si>
    <t>36. Acres planted each crop</t>
  </si>
  <si>
    <t>37. Total Direct Cost/Ac (line 17)</t>
  </si>
  <si>
    <t xml:space="preserve">       For each crop (line 37)DIVIDED BY (line 1)</t>
  </si>
  <si>
    <t>39. Total Direct Cost for Crop</t>
  </si>
  <si>
    <t xml:space="preserve">       For each crop (line 36) TIMES (line 37)</t>
  </si>
  <si>
    <t>40. Total Direct Cost for all crops combined</t>
  </si>
  <si>
    <t xml:space="preserve"> (SUM of each column in line 39)</t>
  </si>
  <si>
    <t>Crop Prices and Crop Revenues Needed to Maintain Net Worth</t>
  </si>
  <si>
    <t>41. Total Economic Overhead Cost (line 32)</t>
  </si>
  <si>
    <t>This calculation is used to determine the crop price</t>
  </si>
  <si>
    <t>42. Minus Gov. Program &amp; Other Net Incomes</t>
  </si>
  <si>
    <t>-</t>
  </si>
  <si>
    <t>required after receipt of other farm income;e.g. fixed</t>
  </si>
  <si>
    <t>43. Minus Value of Unpaid Equity (line 31)</t>
  </si>
  <si>
    <t xml:space="preserve">government payments, custom work. It covers direct </t>
  </si>
  <si>
    <t>44. Plus Income Taxes</t>
  </si>
  <si>
    <t>+</t>
  </si>
  <si>
    <t>costs associated with the crop, its share of the farm</t>
  </si>
  <si>
    <t>45. Minus Value Unpaid Family Labor (line 30)</t>
  </si>
  <si>
    <t>overhead, plus expenditures required for family living</t>
  </si>
  <si>
    <t>46. Plus Actual Family Living &amp; Other Draws</t>
  </si>
  <si>
    <t>and income taxes.</t>
  </si>
  <si>
    <t xml:space="preserve">47. “Maintain Net Worth Overhead Cost” </t>
  </si>
  <si>
    <t>=</t>
  </si>
  <si>
    <t>48. “Maintain Net Worth Overhead Cost” per Acre</t>
  </si>
  <si>
    <t>(line 47) DIVIDED BY (line 19</t>
  </si>
  <si>
    <t>49. Total Crop Revenues Needed to Maintain Net Worth</t>
  </si>
  <si>
    <t xml:space="preserve">  (line 40) PLUS (line 47)</t>
  </si>
  <si>
    <t>50. Total Revenues Needed / Acre</t>
  </si>
  <si>
    <t xml:space="preserve">          (line 37 for each crop) PLUS (line 48)</t>
  </si>
  <si>
    <t xml:space="preserve">          For each crop (line 50) DIVIDED BY (line 1) </t>
  </si>
  <si>
    <t>52. “Maintain Net Worth Overhead Cost”         (line 47)</t>
  </si>
  <si>
    <t>required after receipt of other farm income; e.g.</t>
  </si>
  <si>
    <t>53. Minus Depreciation                          (line 28)</t>
  </si>
  <si>
    <t>government payments and custom work, that covers</t>
  </si>
  <si>
    <t>54. Minus Interest Expense                    (line 20)</t>
  </si>
  <si>
    <t>all cash flow expenditures for the farm business to</t>
  </si>
  <si>
    <t>55. Plus Scheduled Principal and Interest</t>
  </si>
  <si>
    <t>continue which includes annual principal payments to</t>
  </si>
  <si>
    <t>56. Plus Cash required for Capital Replacement</t>
  </si>
  <si>
    <t>service debt and an annual planned expenditure for</t>
  </si>
  <si>
    <t>57. “Meet Cash Flow Demands Overhead Cost”</t>
  </si>
  <si>
    <t>replacement and growth of the farm infrastructure</t>
  </si>
  <si>
    <t>e.g. machinery, equipment, tile, and buildings.</t>
  </si>
  <si>
    <t>58. “Meet Cash Flow Overhead Cost” per Acre</t>
  </si>
  <si>
    <t xml:space="preserve"> (line 57) DIVIDED BY (line 19)</t>
  </si>
  <si>
    <t>59. Total Crop Revenues Needed to Meet Cash Flow Demands</t>
  </si>
  <si>
    <t>(line 40) PLUS (line 57)</t>
  </si>
  <si>
    <t>60.Total Crop Revenue Needed per Acre</t>
  </si>
  <si>
    <t xml:space="preserve">       (line 37 for each crop) PLUS (line 58) </t>
  </si>
  <si>
    <t xml:space="preserve">       For each crop (line 60) DIVIDED BY (line 1)</t>
  </si>
  <si>
    <t>SALES</t>
  </si>
  <si>
    <t>Column 2</t>
  </si>
  <si>
    <t>BEGINNING INVENTORY</t>
  </si>
  <si>
    <t>Column 3</t>
  </si>
  <si>
    <t>ENDING INVENTORY</t>
  </si>
  <si>
    <t>Column 4</t>
  </si>
  <si>
    <t>GROSS PROFIT</t>
  </si>
  <si>
    <t>Corn</t>
  </si>
  <si>
    <t>Other Income Items</t>
  </si>
  <si>
    <t>TOTALS</t>
  </si>
  <si>
    <t>Gross Revenues</t>
  </si>
  <si>
    <t xml:space="preserve">FARM EXPENSES  </t>
  </si>
  <si>
    <t>INCOME ITEM</t>
  </si>
  <si>
    <t xml:space="preserve">   </t>
  </si>
  <si>
    <t xml:space="preserve">   Direct                </t>
  </si>
  <si>
    <t xml:space="preserve">   Overhead              </t>
  </si>
  <si>
    <t xml:space="preserve"> Seed </t>
  </si>
  <si>
    <t xml:space="preserve"> Fertilizer</t>
  </si>
  <si>
    <t xml:space="preserve"> Herbicides </t>
  </si>
  <si>
    <t xml:space="preserve"> Drying Fuel </t>
  </si>
  <si>
    <t xml:space="preserve"> Crop Fuel &amp; Oil</t>
  </si>
  <si>
    <t xml:space="preserve"> Crop Repairs</t>
  </si>
  <si>
    <t xml:space="preserve"> Crop Utilities</t>
  </si>
  <si>
    <t xml:space="preserve"> Crop Insurance</t>
  </si>
  <si>
    <t xml:space="preserve"> Interest </t>
  </si>
  <si>
    <t xml:space="preserve"> Land Rents</t>
  </si>
  <si>
    <t xml:space="preserve"> Machinery Leases </t>
  </si>
  <si>
    <t xml:space="preserve"> Real Estate Taxes</t>
  </si>
  <si>
    <t xml:space="preserve"> Farm Insurance </t>
  </si>
  <si>
    <t xml:space="preserve"> Other Expenses</t>
  </si>
  <si>
    <r>
      <t>TOTAL EXPENSES</t>
    </r>
    <r>
      <rPr>
        <sz val="12"/>
        <rFont val="Courier New"/>
        <family val="3"/>
      </rPr>
      <t xml:space="preserve"> </t>
    </r>
  </si>
  <si>
    <t>Government Programs</t>
  </si>
  <si>
    <t>Total Overhead Expense</t>
  </si>
  <si>
    <t>Direct Expense comparison to Budgets</t>
  </si>
  <si>
    <t xml:space="preserve"> From Income Statement</t>
  </si>
  <si>
    <t xml:space="preserve"> = How Accurate are You?</t>
  </si>
  <si>
    <r>
      <t>NET FARM INCOME           (A-B=C)</t>
    </r>
    <r>
      <rPr>
        <sz val="12"/>
        <rFont val="Arial"/>
        <family val="2"/>
      </rPr>
      <t xml:space="preserve"> </t>
    </r>
  </si>
  <si>
    <r>
      <t xml:space="preserve">  Column 1            (-)     Column 2      (+)    Column 3        (=)            (</t>
    </r>
    <r>
      <rPr>
        <b/>
        <sz val="10"/>
        <rFont val="Arial"/>
        <family val="2"/>
      </rPr>
      <t>A)</t>
    </r>
  </si>
  <si>
    <r>
      <t xml:space="preserve">                    </t>
    </r>
    <r>
      <rPr>
        <b/>
        <sz val="10"/>
        <rFont val="Arial"/>
        <family val="2"/>
      </rPr>
      <t>( B )</t>
    </r>
  </si>
  <si>
    <r>
      <t>INCOME STATEMENT FOR CROPS - Page 1   MSUE  AoE FIRM Team</t>
    </r>
    <r>
      <rPr>
        <b/>
        <sz val="14"/>
        <rFont val="Arial"/>
        <family val="2"/>
      </rPr>
      <t xml:space="preserve"> - </t>
    </r>
    <r>
      <rPr>
        <b/>
        <sz val="10"/>
        <rFont val="Arial"/>
        <family val="2"/>
      </rPr>
      <t>Roger Betz</t>
    </r>
  </si>
  <si>
    <t>Price from Above in Gross Margin</t>
  </si>
  <si>
    <t>Assumptions:</t>
  </si>
  <si>
    <t xml:space="preserve">  Corn:</t>
  </si>
  <si>
    <t xml:space="preserve">     Non-land cost independent of yield, $/acre</t>
  </si>
  <si>
    <t xml:space="preserve">     Non-land cost proportional to yield, $/bu</t>
  </si>
  <si>
    <t xml:space="preserve">  Alfalfa:</t>
  </si>
  <si>
    <t xml:space="preserve">     Annualized non-land cost independent of yield, $/acre</t>
  </si>
  <si>
    <t>Planning horizon: Match the expected alfalfa life-cycle (years)</t>
  </si>
  <si>
    <t xml:space="preserve">        Low</t>
  </si>
  <si>
    <t xml:space="preserve">        Most likely</t>
  </si>
  <si>
    <t xml:space="preserve">        Max</t>
  </si>
  <si>
    <t xml:space="preserve">    Corn yield, bu/acre</t>
  </si>
  <si>
    <t xml:space="preserve">  Alflafa yield, ton/acre </t>
  </si>
  <si>
    <t xml:space="preserve">    Corn price, $/bu</t>
  </si>
  <si>
    <t xml:space="preserve">  Alflafa price, $/ton </t>
  </si>
  <si>
    <t xml:space="preserve">     Annualized non-land cost proportional to yield, $/ton</t>
  </si>
  <si>
    <t xml:space="preserve">$/bu </t>
  </si>
  <si>
    <t>Alfalfa yield, ton/acre</t>
  </si>
  <si>
    <t>yield</t>
  </si>
  <si>
    <t>alfalfa yields given corn price of</t>
  </si>
  <si>
    <t>bu / acre</t>
  </si>
  <si>
    <t>Alfalfa price, $/ ton</t>
  </si>
  <si>
    <t>price</t>
  </si>
  <si>
    <t>$/bu</t>
  </si>
  <si>
    <t>bu/acre</t>
  </si>
  <si>
    <t>Purpose: Comparative Break Even Analysis for Alfalfa vs Corn for Grain</t>
  </si>
  <si>
    <t>Average yields and prices, under consideration,  over the planning horizon:</t>
  </si>
  <si>
    <t>&lt;= User input</t>
  </si>
  <si>
    <t>Cost structure (get from detailed budgets):</t>
  </si>
  <si>
    <t>Corn price ($/bu)</t>
  </si>
  <si>
    <t>given an expected  corn yield of</t>
  </si>
  <si>
    <t>year life-cycle for alternative corn &amp; alfalfa prices</t>
  </si>
  <si>
    <t>Corn yield</t>
  </si>
  <si>
    <t xml:space="preserve">  Soybean yield, bu/acre </t>
  </si>
  <si>
    <t>Planning horizon:  (years)</t>
  </si>
  <si>
    <t>Soybean price, $/bu</t>
  </si>
  <si>
    <t>Soybean yield, bu/acre</t>
  </si>
  <si>
    <t>Soybean price , $/ bu</t>
  </si>
  <si>
    <t>Soybeans:</t>
  </si>
  <si>
    <t>:1</t>
  </si>
  <si>
    <r>
      <t xml:space="preserve">Break-even soybean </t>
    </r>
    <r>
      <rPr>
        <b/>
        <i/>
        <sz val="11"/>
        <rFont val="Arial"/>
        <family val="2"/>
      </rPr>
      <t>yield (bu/ acre)</t>
    </r>
    <r>
      <rPr>
        <b/>
        <sz val="11"/>
        <rFont val="Arial"/>
        <family val="2"/>
      </rPr>
      <t xml:space="preserve"> for alternative</t>
    </r>
  </si>
  <si>
    <r>
      <t xml:space="preserve">Break-even </t>
    </r>
    <r>
      <rPr>
        <b/>
        <i/>
        <sz val="11"/>
        <rFont val="Arial"/>
        <family val="2"/>
      </rPr>
      <t>soybean price / bu</t>
    </r>
    <r>
      <rPr>
        <b/>
        <sz val="11"/>
        <rFont val="Arial"/>
        <family val="2"/>
      </rPr>
      <t xml:space="preserve"> for alternative corn &amp;</t>
    </r>
  </si>
  <si>
    <t>Corn yield, bu/acre</t>
  </si>
  <si>
    <t xml:space="preserve">   Corn price, $/bu</t>
  </si>
  <si>
    <t xml:space="preserve"> 6. Herbicides </t>
  </si>
  <si>
    <t xml:space="preserve"> 8. Drying Fuel </t>
  </si>
  <si>
    <t>Alfalfa 5yr Rot</t>
  </si>
  <si>
    <t xml:space="preserve"> Non-land cost independent of yield, $/acre</t>
  </si>
  <si>
    <t xml:space="preserve"> Non-land cost proportional to yield, $/bu/ton</t>
  </si>
  <si>
    <t>SRWheat</t>
  </si>
  <si>
    <t>35. Total Economic Cost / Bu/Ton</t>
  </si>
  <si>
    <t>17. TOTAL DIRECT COST/Ac</t>
  </si>
  <si>
    <t>38. Direct Cost per Bushel/Ton</t>
  </si>
  <si>
    <t>51. Maintain Net Worth per Bu/Ton</t>
  </si>
  <si>
    <t>61. Meet Cash Flow Demands per Bu/Ton</t>
  </si>
  <si>
    <t xml:space="preserve">Purpose: Comparative Break Even Analysis for </t>
  </si>
  <si>
    <t>vs</t>
  </si>
  <si>
    <t xml:space="preserve">     Non-land cost proportional to yield, $/bu/Ton</t>
  </si>
  <si>
    <t xml:space="preserve">     Annualized non-land cost proportional to yield, $/bu/Ton</t>
  </si>
  <si>
    <t>Alfalfa price ($/Ton) for Yield of ? Ton</t>
  </si>
  <si>
    <t>soy yields given Corn price of</t>
  </si>
  <si>
    <t xml:space="preserve"> Corn yield of</t>
  </si>
  <si>
    <t xml:space="preserve">corn &amp; soybean prices given an expected </t>
  </si>
  <si>
    <t>Soybean price ($/bu) for Yield of ?? Bu</t>
  </si>
  <si>
    <r>
      <t xml:space="preserve">Break-even </t>
    </r>
    <r>
      <rPr>
        <b/>
        <i/>
        <sz val="11"/>
        <rFont val="Arial"/>
        <family val="2"/>
      </rPr>
      <t>alfalfa yield (T/ acre)</t>
    </r>
    <r>
      <rPr>
        <b/>
        <sz val="11"/>
        <rFont val="Arial"/>
        <family val="2"/>
      </rPr>
      <t xml:space="preserve"> over </t>
    </r>
  </si>
  <si>
    <r>
      <t xml:space="preserve">Break-even </t>
    </r>
    <r>
      <rPr>
        <b/>
        <i/>
        <sz val="11"/>
        <rFont val="Arial"/>
        <family val="2"/>
      </rPr>
      <t>alfalfa price / ton</t>
    </r>
    <r>
      <rPr>
        <b/>
        <sz val="11"/>
        <rFont val="Arial"/>
        <family val="2"/>
      </rPr>
      <t xml:space="preserve"> for alternative corn &amp;</t>
    </r>
  </si>
  <si>
    <r>
      <t>Crop Prices and Crop Revenues Required to Meet Cash Flow Demands</t>
    </r>
    <r>
      <rPr>
        <b/>
        <sz val="10"/>
        <color indexed="17"/>
        <rFont val="Arial"/>
        <family val="2"/>
      </rPr>
      <t xml:space="preserve">  </t>
    </r>
    <r>
      <rPr>
        <sz val="10"/>
        <color indexed="17"/>
        <rFont val="Arial"/>
        <family val="2"/>
      </rPr>
      <t xml:space="preserve"> This calculation is to determine the crop price   </t>
    </r>
  </si>
  <si>
    <t>Nitrogen-N</t>
  </si>
  <si>
    <t>Phos-P2O5</t>
  </si>
  <si>
    <t>Potash-K2O</t>
  </si>
  <si>
    <t>other3</t>
  </si>
  <si>
    <t>Fuel/Gal</t>
  </si>
  <si>
    <t xml:space="preserve">2. TIMES  Cash Selling Price per Bu          x  </t>
  </si>
  <si>
    <t>High</t>
  </si>
  <si>
    <t>Irr.Corn</t>
  </si>
  <si>
    <t xml:space="preserve"> Crop Marketing&amp;Storage</t>
  </si>
  <si>
    <t xml:space="preserve"> Custom Hire Trking</t>
  </si>
  <si>
    <t>13. Crop Custom Hire/Trking</t>
  </si>
  <si>
    <t xml:space="preserve">Corn </t>
  </si>
  <si>
    <t xml:space="preserve">Soybeans </t>
  </si>
  <si>
    <t xml:space="preserve">Wheat </t>
  </si>
  <si>
    <t>Total Variable Cost</t>
  </si>
  <si>
    <t>N</t>
  </si>
  <si>
    <t>P2O5</t>
  </si>
  <si>
    <t>K2O</t>
  </si>
  <si>
    <t>Corn bu</t>
  </si>
  <si>
    <t>Soybeans bu</t>
  </si>
  <si>
    <t>Wheat bu</t>
  </si>
  <si>
    <t>Alfafa Ton dry</t>
  </si>
  <si>
    <t>Corn Silage ton</t>
  </si>
  <si>
    <t>14. Crop, Marketing and Storage</t>
  </si>
  <si>
    <t>C.Silage</t>
  </si>
  <si>
    <t>SoyBean</t>
  </si>
  <si>
    <t>CornGrain</t>
  </si>
  <si>
    <t>Yield</t>
  </si>
  <si>
    <t>Total Value</t>
  </si>
  <si>
    <t>Value - N</t>
  </si>
  <si>
    <t>Economic Profit</t>
  </si>
  <si>
    <t>per Crop</t>
  </si>
  <si>
    <t>per Acre</t>
  </si>
  <si>
    <t>per Bu/Ton</t>
  </si>
  <si>
    <t>for Farm</t>
  </si>
  <si>
    <t>Break even Yield</t>
  </si>
  <si>
    <t xml:space="preserve"> Break even Price</t>
  </si>
  <si>
    <t xml:space="preserve"> 2014 Estimates</t>
  </si>
  <si>
    <t>Cost per Unit</t>
  </si>
  <si>
    <t xml:space="preserve"> 9. a. Crop Fuel &amp; Oil</t>
  </si>
  <si>
    <t xml:space="preserve"> 9. b. Irrigation Energy</t>
  </si>
  <si>
    <t>Potential Error??</t>
  </si>
  <si>
    <t xml:space="preserve">Actual </t>
  </si>
  <si>
    <t>Budget</t>
  </si>
  <si>
    <t>Actual/acre</t>
  </si>
  <si>
    <t>Budgets/acre</t>
  </si>
  <si>
    <t>Difference/ac</t>
  </si>
  <si>
    <t>Year __2013______</t>
  </si>
  <si>
    <t xml:space="preserve"> Irrigation Energy</t>
  </si>
  <si>
    <t>EXAMPLE FARM 2013</t>
  </si>
  <si>
    <t>Comparison to Corn Grain</t>
  </si>
  <si>
    <t>CST Work INC</t>
  </si>
  <si>
    <t>Pat Divs</t>
  </si>
  <si>
    <t>Crop Insurance</t>
  </si>
  <si>
    <t>Direct Cost</t>
  </si>
  <si>
    <t xml:space="preserve"> 7. Chemicals/Insecticides/Fungicides</t>
  </si>
  <si>
    <t xml:space="preserve"> Fixed Hired Labor </t>
  </si>
  <si>
    <t xml:space="preserve"> Chem/Insecticides/Fungicides</t>
  </si>
  <si>
    <t xml:space="preserve">21. Overhead Hired Labor </t>
  </si>
  <si>
    <t>16. Direct Labor</t>
  </si>
  <si>
    <t>26. Overhead Utilities</t>
  </si>
  <si>
    <t xml:space="preserve"> Overhead Utilities</t>
  </si>
  <si>
    <t xml:space="preserve"> Direct Labor</t>
  </si>
  <si>
    <t>(Note: These need to be accrual expenses)</t>
  </si>
  <si>
    <t>Date Completed___Jan 26, 2014</t>
  </si>
  <si>
    <t>COST OF PRODUCTION WORKSHEET  - Page 1</t>
  </si>
  <si>
    <t xml:space="preserve">OVERHEAD COSTS for Farm </t>
  </si>
  <si>
    <t xml:space="preserve"> COST OF PRODUCTION WORKSHEET - Page 4</t>
  </si>
  <si>
    <t>COST OF PRODUCTION WORKSHEET  - Page 2</t>
  </si>
  <si>
    <t>more toward Overhead Cost.(assumes overhead cost are equal across crops)</t>
  </si>
  <si>
    <t xml:space="preserve"> Depreciation(Economic not tax depreciat.)</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</si>
</sst>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6" formatCode="&quot;$&quot;#,##0_);[Red]\(&quot;$&quot;#,##0\)"/>
    <numFmt numFmtId="8" formatCode="&quot;$&quot;#,##0.00_);[Red]\(&quot;$&quot;#,##0.00\)"/>
    <numFmt numFmtId="44" formatCode="_(&quot;$&quot;* #,##0.00_);_(&quot;$&quot;* \(#,##0.00\);_(&quot;$&quot;* &quot;-&quot;??_);_(@_)"/>
    <numFmt numFmtId="43" formatCode="_(* #,##0.00_);_(* \(#,##0.00\);_(* &quot;-&quot;??_);_(@_)"/>
    <numFmt numFmtId="164" formatCode="&quot;$&quot;#,##0.00"/>
    <numFmt numFmtId="165" formatCode="_(* #,##0.0_);_(* \(#,##0.0\);_(* &quot;-&quot;??_);_(@_)"/>
    <numFmt numFmtId="166" formatCode="#,##0.0"/>
    <numFmt numFmtId="167" formatCode="0.0"/>
    <numFmt numFmtId="168" formatCode="&quot;$&quot;#,##0"/>
    <numFmt numFmtId="169" formatCode="0.0%"/>
    <numFmt numFmtId="170" formatCode="_(&quot;$&quot;* #,##0_);_(&quot;$&quot;* \(#,##0\);_(&quot;$&quot;* &quot;-&quot;??_);_(@_)"/>
  </numFmts>
  <fonts count="45" x14ac:knownFonts="1">
    <font>
      <sz val="10"/>
      <name val="Arial"/>
    </font>
    <font>
      <sz val="10"/>
      <name val="Arial"/>
      <family val="2"/>
    </font>
    <font>
      <b/>
      <sz val="10"/>
      <name val="Arial"/>
      <family val="2"/>
    </font>
    <font>
      <b/>
      <u/>
      <sz val="11"/>
      <name val="Arial"/>
      <family val="2"/>
    </font>
    <font>
      <b/>
      <sz val="10"/>
      <color indexed="39"/>
      <name val="Arial"/>
      <family val="2"/>
    </font>
    <font>
      <b/>
      <sz val="10"/>
      <color indexed="8"/>
      <name val="Arial"/>
      <family val="2"/>
    </font>
    <font>
      <b/>
      <sz val="10"/>
      <color indexed="12"/>
      <name val="Arial"/>
      <family val="2"/>
    </font>
    <font>
      <sz val="10"/>
      <name val="Arial"/>
      <family val="2"/>
    </font>
    <font>
      <b/>
      <sz val="10"/>
      <color indexed="30"/>
      <name val="Arial"/>
      <family val="2"/>
    </font>
    <font>
      <b/>
      <u/>
      <sz val="10"/>
      <name val="Arial"/>
      <family val="2"/>
    </font>
    <font>
      <b/>
      <sz val="11"/>
      <name val="Arial"/>
      <family val="2"/>
    </font>
    <font>
      <b/>
      <sz val="14"/>
      <name val="Arial"/>
      <family val="2"/>
    </font>
    <font>
      <sz val="10"/>
      <name val="Courier New"/>
      <family val="3"/>
    </font>
    <font>
      <b/>
      <sz val="10"/>
      <name val="Courier New"/>
      <family val="3"/>
    </font>
    <font>
      <b/>
      <u/>
      <sz val="12"/>
      <name val="Arial"/>
      <family val="2"/>
    </font>
    <font>
      <u/>
      <sz val="10"/>
      <name val="Courier New"/>
      <family val="3"/>
    </font>
    <font>
      <sz val="11"/>
      <name val="Arial"/>
      <family val="2"/>
    </font>
    <font>
      <sz val="12"/>
      <name val="Arial"/>
      <family val="2"/>
    </font>
    <font>
      <sz val="12"/>
      <name val="Courier New"/>
      <family val="3"/>
    </font>
    <font>
      <b/>
      <sz val="12"/>
      <name val="Arial"/>
      <family val="2"/>
    </font>
    <font>
      <sz val="10"/>
      <color indexed="39"/>
      <name val="Arial"/>
      <family val="2"/>
    </font>
    <font>
      <b/>
      <sz val="12"/>
      <color indexed="39"/>
      <name val="Arial"/>
      <family val="2"/>
    </font>
    <font>
      <b/>
      <u/>
      <sz val="11"/>
      <color indexed="39"/>
      <name val="Arial"/>
      <family val="2"/>
    </font>
    <font>
      <b/>
      <u val="singleAccounting"/>
      <sz val="10"/>
      <color indexed="39"/>
      <name val="Arial"/>
      <family val="2"/>
    </font>
    <font>
      <b/>
      <sz val="8"/>
      <color indexed="12"/>
      <name val="Arial"/>
      <family val="2"/>
    </font>
    <font>
      <b/>
      <sz val="8"/>
      <name val="Arial"/>
      <family val="2"/>
    </font>
    <font>
      <b/>
      <u/>
      <sz val="10"/>
      <color indexed="39"/>
      <name val="Arial"/>
      <family val="2"/>
    </font>
    <font>
      <b/>
      <sz val="10"/>
      <color indexed="14"/>
      <name val="Arial"/>
      <family val="2"/>
    </font>
    <font>
      <b/>
      <sz val="10"/>
      <color indexed="33"/>
      <name val="Arial"/>
      <family val="2"/>
    </font>
    <font>
      <b/>
      <i/>
      <sz val="11"/>
      <name val="Arial"/>
      <family val="2"/>
    </font>
    <font>
      <sz val="8"/>
      <name val="Arial"/>
      <family val="2"/>
    </font>
    <font>
      <b/>
      <u/>
      <sz val="10"/>
      <color indexed="17"/>
      <name val="Arial"/>
      <family val="2"/>
    </font>
    <font>
      <b/>
      <sz val="10"/>
      <color indexed="17"/>
      <name val="Arial"/>
      <family val="2"/>
    </font>
    <font>
      <sz val="10"/>
      <color indexed="17"/>
      <name val="Arial"/>
      <family val="2"/>
    </font>
    <font>
      <b/>
      <u/>
      <sz val="10"/>
      <color indexed="16"/>
      <name val="Arial"/>
      <family val="2"/>
    </font>
    <font>
      <b/>
      <sz val="10"/>
      <color indexed="16"/>
      <name val="Arial"/>
      <family val="2"/>
    </font>
    <font>
      <b/>
      <sz val="10"/>
      <color indexed="18"/>
      <name val="Arial"/>
      <family val="2"/>
    </font>
    <font>
      <u/>
      <sz val="10"/>
      <name val="Arial"/>
      <family val="2"/>
    </font>
    <font>
      <b/>
      <sz val="10"/>
      <color theme="3"/>
      <name val="Arial"/>
      <family val="2"/>
    </font>
    <font>
      <b/>
      <u/>
      <sz val="10"/>
      <color theme="3"/>
      <name val="Arial"/>
      <family val="2"/>
    </font>
    <font>
      <sz val="10"/>
      <color rgb="FFFF0000"/>
      <name val="Arial"/>
      <family val="2"/>
    </font>
    <font>
      <b/>
      <sz val="9"/>
      <name val="Arial"/>
      <family val="2"/>
    </font>
    <font>
      <u val="singleAccounting"/>
      <sz val="10"/>
      <name val="Arial"/>
      <family val="2"/>
    </font>
    <font>
      <sz val="11"/>
      <color theme="1"/>
      <name val="Calibri"/>
      <scheme val="minor"/>
    </font>
    <font>
      <sz val="11"/>
      <color theme="1"/>
      <name val="Times New Roman"/>
    </font>
  </fonts>
  <fills count="3">
    <fill>
      <patternFill patternType="none"/>
    </fill>
    <fill>
      <patternFill patternType="gray125"/>
    </fill>
    <fill>
      <patternFill patternType="solid">
        <fgColor indexed="43"/>
        <bgColor indexed="64"/>
      </patternFill>
    </fill>
  </fills>
  <borders count="33">
    <border>
      <left/>
      <right/>
      <top/>
      <bottom/>
      <diagonal/>
    </border>
    <border>
      <left style="thin">
        <color auto="1"/>
      </left>
      <right style="thin">
        <color auto="1"/>
      </right>
      <top style="thin">
        <color auto="1"/>
      </top>
      <bottom style="thin">
        <color auto="1"/>
      </bottom>
      <diagonal/>
    </border>
    <border>
      <left/>
      <right/>
      <top/>
      <bottom style="thick">
        <color auto="1"/>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style="thick">
        <color auto="1"/>
      </left>
      <right style="thick">
        <color auto="1"/>
      </right>
      <top/>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right style="thick">
        <color auto="1"/>
      </right>
      <top/>
      <bottom/>
      <diagonal/>
    </border>
    <border>
      <left style="thick">
        <color auto="1"/>
      </left>
      <right style="thick">
        <color auto="1"/>
      </right>
      <top/>
      <bottom style="thick">
        <color auto="1"/>
      </bottom>
      <diagonal/>
    </border>
    <border>
      <left style="thick">
        <color auto="1"/>
      </left>
      <right/>
      <top/>
      <bottom style="thick">
        <color auto="1"/>
      </bottom>
      <diagonal/>
    </border>
    <border>
      <left/>
      <right style="thick">
        <color auto="1"/>
      </right>
      <top/>
      <bottom style="thick">
        <color auto="1"/>
      </bottom>
      <diagonal/>
    </border>
    <border>
      <left/>
      <right/>
      <top/>
      <bottom style="thin">
        <color auto="1"/>
      </bottom>
      <diagonal/>
    </border>
    <border>
      <left style="thin">
        <color auto="1"/>
      </left>
      <right/>
      <top/>
      <bottom/>
      <diagonal/>
    </border>
    <border>
      <left style="thin">
        <color auto="1"/>
      </left>
      <right style="thin">
        <color auto="1"/>
      </right>
      <top/>
      <bottom style="thin">
        <color auto="1"/>
      </bottom>
      <diagonal/>
    </border>
    <border>
      <left style="thin">
        <color auto="1"/>
      </left>
      <right style="thin">
        <color auto="1"/>
      </right>
      <top style="thin">
        <color auto="1"/>
      </top>
      <bottom style="double">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251">
    <xf numFmtId="0" fontId="0" fillId="0" borderId="0" xfId="0"/>
    <xf numFmtId="0" fontId="2" fillId="0" borderId="0" xfId="0" applyFont="1" applyProtection="1"/>
    <xf numFmtId="0" fontId="0" fillId="0" borderId="0" xfId="0" applyProtection="1"/>
    <xf numFmtId="0" fontId="4" fillId="0" borderId="0" xfId="0" applyFont="1" applyProtection="1">
      <protection locked="0"/>
    </xf>
    <xf numFmtId="8" fontId="5" fillId="0" borderId="0" xfId="0" applyNumberFormat="1" applyFont="1" applyProtection="1"/>
    <xf numFmtId="8" fontId="2" fillId="0" borderId="0" xfId="0" applyNumberFormat="1" applyFont="1" applyProtection="1">
      <protection locked="0"/>
    </xf>
    <xf numFmtId="8" fontId="2" fillId="0" borderId="0" xfId="0" applyNumberFormat="1" applyFont="1" applyProtection="1"/>
    <xf numFmtId="8" fontId="7" fillId="0" borderId="0" xfId="0" applyNumberFormat="1" applyFont="1" applyProtection="1"/>
    <xf numFmtId="3" fontId="5" fillId="0" borderId="0" xfId="0" applyNumberFormat="1" applyFont="1" applyProtection="1"/>
    <xf numFmtId="8" fontId="0" fillId="0" borderId="0" xfId="0" applyNumberFormat="1" applyProtection="1"/>
    <xf numFmtId="3" fontId="2" fillId="0" borderId="0" xfId="0" applyNumberFormat="1" applyFont="1" applyProtection="1"/>
    <xf numFmtId="164" fontId="2" fillId="0" borderId="0" xfId="0" applyNumberFormat="1" applyFont="1" applyProtection="1"/>
    <xf numFmtId="0" fontId="7" fillId="0" borderId="0" xfId="0" applyFont="1" applyProtection="1"/>
    <xf numFmtId="8" fontId="2" fillId="0" borderId="0" xfId="0" applyNumberFormat="1" applyFont="1" applyAlignment="1" applyProtection="1">
      <alignment horizontal="right"/>
    </xf>
    <xf numFmtId="164" fontId="3" fillId="0" borderId="0" xfId="0" applyNumberFormat="1" applyFont="1" applyProtection="1"/>
    <xf numFmtId="164" fontId="10" fillId="0" borderId="0" xfId="0" applyNumberFormat="1" applyFont="1" applyProtection="1"/>
    <xf numFmtId="0" fontId="12" fillId="0" borderId="0" xfId="0" applyFont="1"/>
    <xf numFmtId="0" fontId="14" fillId="0" borderId="0" xfId="0" applyFont="1"/>
    <xf numFmtId="0" fontId="12" fillId="0" borderId="0" xfId="0" applyFont="1" applyAlignment="1">
      <alignment horizontal="justify"/>
    </xf>
    <xf numFmtId="0" fontId="16" fillId="0" borderId="0" xfId="0" applyFont="1" applyAlignment="1">
      <alignment horizontal="justify"/>
    </xf>
    <xf numFmtId="0" fontId="10" fillId="0" borderId="0" xfId="0" applyFont="1"/>
    <xf numFmtId="0" fontId="14" fillId="0" borderId="1" xfId="0" applyFont="1" applyBorder="1"/>
    <xf numFmtId="0" fontId="0" fillId="0" borderId="1" xfId="0" applyBorder="1"/>
    <xf numFmtId="0" fontId="15" fillId="0" borderId="1" xfId="0" applyFont="1" applyBorder="1" applyAlignment="1">
      <alignment horizontal="left" indent="2"/>
    </xf>
    <xf numFmtId="0" fontId="19" fillId="0" borderId="1" xfId="0" applyFont="1" applyBorder="1" applyAlignment="1">
      <alignment horizontal="justify"/>
    </xf>
    <xf numFmtId="0" fontId="19" fillId="0" borderId="1" xfId="0" applyFont="1" applyBorder="1"/>
    <xf numFmtId="0" fontId="2" fillId="0" borderId="1" xfId="0" applyFont="1" applyBorder="1" applyProtection="1"/>
    <xf numFmtId="0" fontId="7" fillId="0" borderId="0" xfId="0" applyFont="1"/>
    <xf numFmtId="6" fontId="0" fillId="0" borderId="0" xfId="0" applyNumberFormat="1"/>
    <xf numFmtId="6" fontId="13" fillId="0" borderId="1" xfId="0" applyNumberFormat="1" applyFont="1" applyBorder="1" applyAlignment="1">
      <alignment horizontal="right"/>
    </xf>
    <xf numFmtId="38" fontId="0" fillId="0" borderId="0" xfId="0" applyNumberFormat="1"/>
    <xf numFmtId="0" fontId="21" fillId="0" borderId="0" xfId="0" applyFont="1" applyProtection="1">
      <protection locked="0"/>
    </xf>
    <xf numFmtId="0" fontId="20" fillId="0" borderId="0" xfId="0" applyFont="1" applyProtection="1">
      <protection locked="0"/>
    </xf>
    <xf numFmtId="6" fontId="19" fillId="0" borderId="1" xfId="0" applyNumberFormat="1" applyFont="1" applyBorder="1" applyAlignment="1">
      <alignment vertical="top" wrapText="1"/>
    </xf>
    <xf numFmtId="0" fontId="22" fillId="0" borderId="0" xfId="0" applyFont="1" applyAlignment="1" applyProtection="1">
      <alignment horizontal="right" vertical="center"/>
      <protection locked="0"/>
    </xf>
    <xf numFmtId="6" fontId="19" fillId="0" borderId="1" xfId="0" applyNumberFormat="1" applyFont="1" applyBorder="1"/>
    <xf numFmtId="0" fontId="2" fillId="0" borderId="1" xfId="0" applyFont="1" applyBorder="1" applyAlignment="1">
      <alignment vertical="top" wrapText="1"/>
    </xf>
    <xf numFmtId="0" fontId="4" fillId="0" borderId="1" xfId="0" applyFont="1" applyBorder="1" applyAlignment="1" applyProtection="1">
      <alignment vertical="top" wrapText="1"/>
      <protection locked="0"/>
    </xf>
    <xf numFmtId="6" fontId="4" fillId="0" borderId="1" xfId="0" applyNumberFormat="1" applyFont="1" applyBorder="1" applyAlignment="1" applyProtection="1">
      <alignment vertical="top" wrapText="1"/>
      <protection locked="0"/>
    </xf>
    <xf numFmtId="6" fontId="2" fillId="0" borderId="1" xfId="0" applyNumberFormat="1" applyFont="1" applyBorder="1" applyAlignment="1">
      <alignment vertical="top" wrapText="1"/>
    </xf>
    <xf numFmtId="0" fontId="19" fillId="0" borderId="1" xfId="0" applyFont="1" applyBorder="1" applyAlignment="1">
      <alignment vertical="top" wrapText="1"/>
    </xf>
    <xf numFmtId="0" fontId="7" fillId="0" borderId="1" xfId="0" applyFont="1" applyBorder="1"/>
    <xf numFmtId="6" fontId="4" fillId="0" borderId="1" xfId="0" applyNumberFormat="1" applyFont="1" applyBorder="1" applyProtection="1">
      <protection locked="0"/>
    </xf>
    <xf numFmtId="6" fontId="4" fillId="0" borderId="1" xfId="0" applyNumberFormat="1" applyFont="1" applyBorder="1"/>
    <xf numFmtId="0" fontId="19" fillId="0" borderId="0" xfId="0" applyFont="1"/>
    <xf numFmtId="44" fontId="4" fillId="0" borderId="0" xfId="2" applyFont="1" applyProtection="1">
      <protection locked="0"/>
    </xf>
    <xf numFmtId="6" fontId="2" fillId="0" borderId="0" xfId="0" applyNumberFormat="1" applyFont="1" applyProtection="1"/>
    <xf numFmtId="44" fontId="23" fillId="0" borderId="0" xfId="2" applyFont="1" applyProtection="1">
      <protection locked="0"/>
    </xf>
    <xf numFmtId="0" fontId="25" fillId="0" borderId="0" xfId="0" applyFont="1" applyAlignment="1" applyProtection="1">
      <alignment horizontal="right"/>
    </xf>
    <xf numFmtId="8" fontId="26" fillId="0" borderId="0" xfId="0" applyNumberFormat="1" applyFont="1" applyProtection="1">
      <protection locked="0"/>
    </xf>
    <xf numFmtId="44" fontId="26" fillId="0" borderId="0" xfId="2" applyFont="1" applyProtection="1">
      <protection locked="0"/>
    </xf>
    <xf numFmtId="44" fontId="4" fillId="0" borderId="0" xfId="0" applyNumberFormat="1" applyFont="1" applyProtection="1">
      <protection locked="0"/>
    </xf>
    <xf numFmtId="44" fontId="23" fillId="0" borderId="0" xfId="0" applyNumberFormat="1" applyFont="1" applyProtection="1">
      <protection locked="0"/>
    </xf>
    <xf numFmtId="44" fontId="2" fillId="0" borderId="0" xfId="2" applyFont="1" applyProtection="1"/>
    <xf numFmtId="44" fontId="27" fillId="0" borderId="0" xfId="0" applyNumberFormat="1" applyFont="1" applyProtection="1">
      <protection locked="0"/>
    </xf>
    <xf numFmtId="44" fontId="28" fillId="0" borderId="0" xfId="0" applyNumberFormat="1" applyFont="1" applyProtection="1">
      <protection locked="0"/>
    </xf>
    <xf numFmtId="0" fontId="2" fillId="0" borderId="0" xfId="0" applyFont="1"/>
    <xf numFmtId="0" fontId="2" fillId="2" borderId="0" xfId="0" applyFont="1" applyFill="1"/>
    <xf numFmtId="0" fontId="10" fillId="0" borderId="0" xfId="0" applyFont="1" applyFill="1" applyBorder="1" applyAlignment="1">
      <alignment horizontal="center"/>
    </xf>
    <xf numFmtId="0" fontId="2" fillId="0" borderId="0" xfId="0" applyFont="1" applyFill="1"/>
    <xf numFmtId="167" fontId="2" fillId="2" borderId="0" xfId="0" applyNumberFormat="1" applyFont="1" applyFill="1"/>
    <xf numFmtId="164" fontId="2" fillId="2" borderId="0" xfId="0" applyNumberFormat="1" applyFont="1" applyFill="1"/>
    <xf numFmtId="0" fontId="10" fillId="0" borderId="0" xfId="0" applyFont="1" applyAlignment="1">
      <alignment horizontal="center"/>
    </xf>
    <xf numFmtId="0" fontId="10" fillId="0" borderId="2" xfId="0" applyFont="1" applyBorder="1"/>
    <xf numFmtId="2" fontId="10" fillId="2" borderId="2" xfId="0" applyNumberFormat="1" applyFont="1" applyFill="1" applyBorder="1"/>
    <xf numFmtId="167" fontId="10" fillId="2" borderId="2" xfId="0" applyNumberFormat="1" applyFont="1" applyFill="1" applyBorder="1"/>
    <xf numFmtId="0" fontId="10" fillId="0" borderId="0" xfId="0" applyFont="1" applyAlignment="1">
      <alignment horizontal="centerContinuous"/>
    </xf>
    <xf numFmtId="167" fontId="10" fillId="0" borderId="3" xfId="0" applyNumberFormat="1" applyFont="1" applyBorder="1" applyAlignment="1">
      <alignment horizontal="center"/>
    </xf>
    <xf numFmtId="167" fontId="10" fillId="0" borderId="4" xfId="0" applyNumberFormat="1" applyFont="1" applyBorder="1" applyAlignment="1">
      <alignment horizontal="center"/>
    </xf>
    <xf numFmtId="167" fontId="10" fillId="0" borderId="5" xfId="0" applyNumberFormat="1" applyFont="1" applyBorder="1" applyAlignment="1">
      <alignment horizontal="center"/>
    </xf>
    <xf numFmtId="0" fontId="10" fillId="0" borderId="6" xfId="0" applyFont="1" applyBorder="1" applyAlignment="1">
      <alignment horizontal="center"/>
    </xf>
    <xf numFmtId="1" fontId="10" fillId="0" borderId="6" xfId="0" applyNumberFormat="1" applyFont="1" applyBorder="1" applyAlignment="1">
      <alignment horizontal="center"/>
    </xf>
    <xf numFmtId="164" fontId="10" fillId="0" borderId="0" xfId="0" applyNumberFormat="1" applyFont="1" applyBorder="1"/>
    <xf numFmtId="164" fontId="10" fillId="0" borderId="6" xfId="0" applyNumberFormat="1" applyFont="1" applyBorder="1" applyAlignment="1">
      <alignment horizontal="center"/>
    </xf>
    <xf numFmtId="166" fontId="10" fillId="0" borderId="0" xfId="0" applyNumberFormat="1" applyFont="1" applyBorder="1"/>
    <xf numFmtId="0" fontId="10" fillId="0" borderId="12" xfId="0" applyFont="1" applyBorder="1" applyAlignment="1">
      <alignment horizontal="center"/>
    </xf>
    <xf numFmtId="1" fontId="10" fillId="0" borderId="12" xfId="0" applyNumberFormat="1" applyFont="1" applyBorder="1" applyAlignment="1">
      <alignment horizontal="center"/>
    </xf>
    <xf numFmtId="164" fontId="10" fillId="0" borderId="12" xfId="0" applyNumberFormat="1" applyFont="1" applyBorder="1" applyAlignment="1">
      <alignment horizontal="center"/>
    </xf>
    <xf numFmtId="0" fontId="10" fillId="0" borderId="0" xfId="0" applyFont="1" applyFill="1" applyBorder="1" applyAlignment="1">
      <alignment horizontal="center" wrapText="1"/>
    </xf>
    <xf numFmtId="0" fontId="2" fillId="0" borderId="0" xfId="0" applyFont="1" applyAlignment="1">
      <alignment horizontal="center" wrapText="1"/>
    </xf>
    <xf numFmtId="2" fontId="10" fillId="2" borderId="0" xfId="0" applyNumberFormat="1" applyFont="1" applyFill="1" applyBorder="1" applyAlignment="1">
      <alignment horizontal="center"/>
    </xf>
    <xf numFmtId="164" fontId="2" fillId="0" borderId="0" xfId="0" applyNumberFormat="1" applyFont="1"/>
    <xf numFmtId="169" fontId="2" fillId="0" borderId="0" xfId="0" applyNumberFormat="1" applyFont="1"/>
    <xf numFmtId="2" fontId="10" fillId="0" borderId="0" xfId="0" applyNumberFormat="1" applyFont="1" applyFill="1" applyAlignment="1">
      <alignment horizontal="center"/>
    </xf>
    <xf numFmtId="0" fontId="2" fillId="0" borderId="0" xfId="0" quotePrefix="1" applyFont="1" applyAlignment="1">
      <alignment horizontal="center"/>
    </xf>
    <xf numFmtId="167" fontId="2" fillId="0" borderId="0" xfId="0" applyNumberFormat="1" applyFont="1"/>
    <xf numFmtId="0" fontId="2" fillId="0" borderId="0" xfId="0" quotePrefix="1" applyFont="1"/>
    <xf numFmtId="2" fontId="10" fillId="0" borderId="0" xfId="0" applyNumberFormat="1" applyFont="1" applyAlignment="1">
      <alignment horizontal="center"/>
    </xf>
    <xf numFmtId="0" fontId="22" fillId="0" borderId="0" xfId="0" applyFont="1" applyAlignment="1" applyProtection="1">
      <alignment horizontal="left" vertical="center"/>
      <protection locked="0"/>
    </xf>
    <xf numFmtId="167" fontId="4" fillId="0" borderId="0" xfId="0" applyNumberFormat="1" applyFont="1" applyProtection="1">
      <protection locked="0"/>
    </xf>
    <xf numFmtId="44" fontId="2" fillId="0" borderId="1" xfId="2" applyFont="1" applyBorder="1" applyProtection="1"/>
    <xf numFmtId="44" fontId="2" fillId="0" borderId="0" xfId="2" applyFont="1" applyBorder="1" applyProtection="1"/>
    <xf numFmtId="1" fontId="2" fillId="2" borderId="0" xfId="0" applyNumberFormat="1" applyFont="1" applyFill="1"/>
    <xf numFmtId="168" fontId="2" fillId="2" borderId="0" xfId="0" applyNumberFormat="1" applyFont="1" applyFill="1"/>
    <xf numFmtId="1" fontId="10" fillId="2" borderId="2" xfId="0" applyNumberFormat="1" applyFont="1" applyFill="1" applyBorder="1"/>
    <xf numFmtId="168" fontId="10" fillId="0" borderId="3" xfId="0" applyNumberFormat="1" applyFont="1" applyBorder="1" applyAlignment="1">
      <alignment horizontal="center"/>
    </xf>
    <xf numFmtId="168" fontId="10" fillId="0" borderId="4" xfId="0" applyNumberFormat="1" applyFont="1" applyBorder="1" applyAlignment="1">
      <alignment horizontal="center"/>
    </xf>
    <xf numFmtId="168" fontId="10" fillId="0" borderId="5" xfId="0" applyNumberFormat="1" applyFont="1" applyBorder="1" applyAlignment="1">
      <alignment horizontal="center"/>
    </xf>
    <xf numFmtId="4" fontId="10" fillId="0" borderId="7" xfId="0" applyNumberFormat="1" applyFont="1" applyBorder="1"/>
    <xf numFmtId="4" fontId="10" fillId="0" borderId="8" xfId="0" applyNumberFormat="1" applyFont="1" applyBorder="1"/>
    <xf numFmtId="4" fontId="10" fillId="0" borderId="9" xfId="0" applyNumberFormat="1" applyFont="1" applyBorder="1"/>
    <xf numFmtId="4" fontId="10" fillId="0" borderId="10" xfId="0" applyNumberFormat="1" applyFont="1" applyBorder="1"/>
    <xf numFmtId="4" fontId="10" fillId="0" borderId="0" xfId="0" applyNumberFormat="1" applyFont="1" applyBorder="1"/>
    <xf numFmtId="4" fontId="10" fillId="0" borderId="11" xfId="0" applyNumberFormat="1" applyFont="1" applyBorder="1"/>
    <xf numFmtId="4" fontId="10" fillId="0" borderId="13" xfId="0" applyNumberFormat="1" applyFont="1" applyBorder="1"/>
    <xf numFmtId="4" fontId="10" fillId="0" borderId="2" xfId="0" applyNumberFormat="1" applyFont="1" applyBorder="1"/>
    <xf numFmtId="4" fontId="10" fillId="0" borderId="14" xfId="0" applyNumberFormat="1" applyFont="1" applyBorder="1"/>
    <xf numFmtId="0" fontId="2" fillId="0" borderId="0" xfId="0" applyFont="1" applyAlignment="1">
      <alignment horizontal="center"/>
    </xf>
    <xf numFmtId="0" fontId="2" fillId="2" borderId="0" xfId="0" applyFont="1" applyFill="1" applyAlignment="1">
      <alignment horizontal="center"/>
    </xf>
    <xf numFmtId="169" fontId="9" fillId="0" borderId="0" xfId="0" applyNumberFormat="1" applyFont="1"/>
    <xf numFmtId="0" fontId="31" fillId="0" borderId="0" xfId="0" applyFont="1" applyProtection="1"/>
    <xf numFmtId="0" fontId="32" fillId="0" borderId="0" xfId="0" applyFont="1" applyProtection="1"/>
    <xf numFmtId="0" fontId="33" fillId="0" borderId="0" xfId="0" applyFont="1" applyProtection="1"/>
    <xf numFmtId="0" fontId="34" fillId="0" borderId="0" xfId="0" applyFont="1" applyProtection="1"/>
    <xf numFmtId="0" fontId="35" fillId="0" borderId="0" xfId="0" applyFont="1" applyProtection="1"/>
    <xf numFmtId="0" fontId="36" fillId="0" borderId="0" xfId="0" applyFont="1" applyProtection="1"/>
    <xf numFmtId="164" fontId="36" fillId="0" borderId="0" xfId="0" applyNumberFormat="1" applyFont="1" applyProtection="1"/>
    <xf numFmtId="8" fontId="36" fillId="0" borderId="0" xfId="0" applyNumberFormat="1" applyFont="1" applyProtection="1"/>
    <xf numFmtId="38" fontId="32" fillId="0" borderId="0" xfId="0" applyNumberFormat="1" applyFont="1" applyProtection="1"/>
    <xf numFmtId="8" fontId="32" fillId="0" borderId="0" xfId="0" applyNumberFormat="1" applyFont="1" applyProtection="1"/>
    <xf numFmtId="8" fontId="35" fillId="0" borderId="0" xfId="0" applyNumberFormat="1" applyFont="1" applyProtection="1"/>
    <xf numFmtId="0" fontId="10" fillId="0" borderId="0" xfId="0" applyFont="1" applyProtection="1"/>
    <xf numFmtId="44" fontId="10" fillId="0" borderId="1" xfId="2" applyFont="1" applyBorder="1" applyProtection="1"/>
    <xf numFmtId="0" fontId="6" fillId="0" borderId="0" xfId="0" applyFont="1" applyProtection="1">
      <protection locked="0"/>
    </xf>
    <xf numFmtId="8" fontId="9" fillId="0" borderId="0" xfId="0" applyNumberFormat="1" applyFont="1" applyAlignment="1" applyProtection="1">
      <alignment horizontal="center"/>
    </xf>
    <xf numFmtId="8" fontId="34" fillId="0" borderId="0" xfId="0" applyNumberFormat="1" applyFont="1" applyAlignment="1" applyProtection="1">
      <alignment horizontal="center"/>
    </xf>
    <xf numFmtId="44" fontId="2" fillId="0" borderId="0" xfId="0" applyNumberFormat="1" applyFont="1" applyProtection="1"/>
    <xf numFmtId="0" fontId="2" fillId="0" borderId="0" xfId="0" applyFont="1" applyAlignment="1" applyProtection="1">
      <alignment horizontal="center"/>
    </xf>
    <xf numFmtId="0" fontId="2" fillId="0" borderId="0" xfId="0" applyFont="1" applyAlignment="1" applyProtection="1">
      <alignment horizontal="right"/>
    </xf>
    <xf numFmtId="0" fontId="0" fillId="0" borderId="0" xfId="0" applyProtection="1">
      <protection locked="0"/>
    </xf>
    <xf numFmtId="44" fontId="4" fillId="0" borderId="0" xfId="2" applyFont="1" applyProtection="1"/>
    <xf numFmtId="44" fontId="0" fillId="0" borderId="0" xfId="2" applyFont="1" applyProtection="1"/>
    <xf numFmtId="165" fontId="24" fillId="0" borderId="0" xfId="1" applyNumberFormat="1" applyFont="1" applyProtection="1"/>
    <xf numFmtId="12" fontId="2" fillId="0" borderId="0" xfId="0" applyNumberFormat="1" applyFont="1" applyProtection="1"/>
    <xf numFmtId="8" fontId="6" fillId="0" borderId="0" xfId="0" applyNumberFormat="1" applyFont="1" applyProtection="1"/>
    <xf numFmtId="44" fontId="27" fillId="0" borderId="0" xfId="0" applyNumberFormat="1" applyFont="1" applyProtection="1"/>
    <xf numFmtId="44" fontId="0" fillId="0" borderId="0" xfId="0" applyNumberFormat="1" applyProtection="1"/>
    <xf numFmtId="0" fontId="0" fillId="0" borderId="0" xfId="0" applyAlignment="1" applyProtection="1">
      <alignment horizontal="right"/>
    </xf>
    <xf numFmtId="0" fontId="22" fillId="0" borderId="0" xfId="0" applyFont="1" applyAlignment="1" applyProtection="1">
      <alignment horizontal="center" vertical="center"/>
      <protection locked="0"/>
    </xf>
    <xf numFmtId="164" fontId="0" fillId="0" borderId="0" xfId="0" applyNumberFormat="1" applyProtection="1"/>
    <xf numFmtId="8" fontId="0" fillId="0" borderId="0" xfId="0" applyNumberFormat="1"/>
    <xf numFmtId="44" fontId="0" fillId="0" borderId="0" xfId="0" applyNumberFormat="1"/>
    <xf numFmtId="0" fontId="37" fillId="0" borderId="15" xfId="0" applyFont="1" applyBorder="1" applyAlignment="1">
      <alignment horizontal="right"/>
    </xf>
    <xf numFmtId="168" fontId="10" fillId="0" borderId="0" xfId="0" applyNumberFormat="1" applyFont="1" applyProtection="1"/>
    <xf numFmtId="165" fontId="19" fillId="0" borderId="0" xfId="1" applyNumberFormat="1" applyFont="1" applyProtection="1"/>
    <xf numFmtId="8" fontId="19" fillId="0" borderId="0" xfId="0" applyNumberFormat="1" applyFont="1" applyProtection="1"/>
    <xf numFmtId="9" fontId="22" fillId="0" borderId="0" xfId="3" applyFont="1" applyAlignment="1" applyProtection="1">
      <alignment horizontal="center" vertical="center"/>
      <protection locked="0"/>
    </xf>
    <xf numFmtId="38" fontId="0" fillId="0" borderId="0" xfId="0" applyNumberFormat="1" applyProtection="1"/>
    <xf numFmtId="8" fontId="2" fillId="0" borderId="0" xfId="0" applyNumberFormat="1" applyFont="1" applyAlignment="1" applyProtection="1">
      <alignment horizontal="center"/>
    </xf>
    <xf numFmtId="8" fontId="11" fillId="0" borderId="0" xfId="0" applyNumberFormat="1" applyFont="1" applyAlignment="1" applyProtection="1">
      <alignment horizontal="right"/>
    </xf>
    <xf numFmtId="0" fontId="38" fillId="0" borderId="0" xfId="0" applyFont="1" applyProtection="1"/>
    <xf numFmtId="164" fontId="39" fillId="0" borderId="0" xfId="0" applyNumberFormat="1" applyFont="1" applyAlignment="1" applyProtection="1">
      <alignment horizontal="center"/>
    </xf>
    <xf numFmtId="164" fontId="39" fillId="0" borderId="0" xfId="0" applyNumberFormat="1" applyFont="1" applyAlignment="1" applyProtection="1">
      <alignment horizontal="left"/>
    </xf>
    <xf numFmtId="164" fontId="38" fillId="0" borderId="0" xfId="0" applyNumberFormat="1" applyFont="1" applyProtection="1"/>
    <xf numFmtId="8" fontId="3" fillId="0" borderId="0" xfId="0" applyNumberFormat="1" applyFont="1" applyAlignment="1" applyProtection="1">
      <alignment horizontal="center"/>
    </xf>
    <xf numFmtId="8" fontId="3" fillId="0" borderId="0" xfId="0" applyNumberFormat="1" applyFont="1" applyAlignment="1" applyProtection="1">
      <alignment horizontal="left"/>
    </xf>
    <xf numFmtId="170" fontId="4" fillId="0" borderId="0" xfId="2" applyNumberFormat="1" applyFont="1" applyProtection="1">
      <protection locked="0"/>
    </xf>
    <xf numFmtId="170" fontId="2" fillId="0" borderId="0" xfId="2" applyNumberFormat="1" applyFont="1" applyProtection="1"/>
    <xf numFmtId="170" fontId="8" fillId="0" borderId="0" xfId="2" applyNumberFormat="1" applyFont="1" applyProtection="1">
      <protection locked="0"/>
    </xf>
    <xf numFmtId="170" fontId="6" fillId="0" borderId="0" xfId="2" applyNumberFormat="1" applyFont="1" applyProtection="1">
      <protection locked="0"/>
    </xf>
    <xf numFmtId="170" fontId="5" fillId="0" borderId="0" xfId="2" applyNumberFormat="1" applyFont="1" applyProtection="1"/>
    <xf numFmtId="170" fontId="2" fillId="0" borderId="0" xfId="2" applyNumberFormat="1" applyFont="1" applyAlignment="1" applyProtection="1">
      <alignment horizontal="right"/>
    </xf>
    <xf numFmtId="170" fontId="32" fillId="0" borderId="0" xfId="2" applyNumberFormat="1" applyFont="1" applyProtection="1"/>
    <xf numFmtId="6" fontId="32" fillId="0" borderId="0" xfId="0" applyNumberFormat="1" applyFont="1" applyProtection="1"/>
    <xf numFmtId="6" fontId="35" fillId="0" borderId="0" xfId="0" applyNumberFormat="1" applyFont="1" applyAlignment="1" applyProtection="1">
      <alignment horizontal="center"/>
    </xf>
    <xf numFmtId="8" fontId="35" fillId="0" borderId="0" xfId="0" applyNumberFormat="1" applyFont="1" applyAlignment="1" applyProtection="1">
      <alignment horizontal="center"/>
    </xf>
    <xf numFmtId="168" fontId="38" fillId="0" borderId="0" xfId="0" quotePrefix="1" applyNumberFormat="1" applyFont="1" applyProtection="1"/>
    <xf numFmtId="0" fontId="7" fillId="0" borderId="0" xfId="0" applyFont="1" applyAlignment="1" applyProtection="1">
      <alignment horizontal="right"/>
    </xf>
    <xf numFmtId="0" fontId="7" fillId="0" borderId="0" xfId="0" applyFont="1" applyAlignment="1" applyProtection="1"/>
    <xf numFmtId="44" fontId="0" fillId="0" borderId="1" xfId="0" applyNumberFormat="1" applyBorder="1" applyProtection="1"/>
    <xf numFmtId="0" fontId="0" fillId="0" borderId="0" xfId="0" applyBorder="1" applyProtection="1"/>
    <xf numFmtId="43" fontId="0" fillId="0" borderId="0" xfId="1" applyNumberFormat="1" applyFont="1" applyProtection="1"/>
    <xf numFmtId="43" fontId="0" fillId="0" borderId="0" xfId="1" applyNumberFormat="1" applyFont="1" applyFill="1" applyBorder="1" applyProtection="1"/>
    <xf numFmtId="170" fontId="0" fillId="0" borderId="16" xfId="0" applyNumberFormat="1" applyBorder="1" applyProtection="1"/>
    <xf numFmtId="170" fontId="0" fillId="0" borderId="0" xfId="0" applyNumberFormat="1" applyBorder="1" applyProtection="1"/>
    <xf numFmtId="0" fontId="37" fillId="0" borderId="0" xfId="0" applyFont="1" applyProtection="1"/>
    <xf numFmtId="0" fontId="37" fillId="0" borderId="0" xfId="0" applyFont="1" applyBorder="1" applyAlignment="1" applyProtection="1">
      <alignment horizontal="center"/>
    </xf>
    <xf numFmtId="170" fontId="0" fillId="0" borderId="0" xfId="0" applyNumberFormat="1" applyProtection="1">
      <protection locked="0"/>
    </xf>
    <xf numFmtId="0" fontId="9" fillId="0" borderId="0" xfId="0" applyFont="1" applyProtection="1"/>
    <xf numFmtId="0" fontId="9" fillId="0" borderId="0" xfId="0" applyFont="1" applyAlignment="1" applyProtection="1">
      <alignment horizontal="center" wrapText="1"/>
      <protection locked="0"/>
    </xf>
    <xf numFmtId="0" fontId="2" fillId="0" borderId="0" xfId="0" applyFont="1" applyFill="1" applyBorder="1" applyAlignment="1" applyProtection="1">
      <alignment horizontal="right"/>
    </xf>
    <xf numFmtId="2" fontId="2" fillId="0" borderId="1" xfId="0" applyNumberFormat="1" applyFont="1" applyBorder="1" applyAlignment="1" applyProtection="1">
      <alignment horizontal="center"/>
      <protection locked="0"/>
    </xf>
    <xf numFmtId="1" fontId="2" fillId="0" borderId="1" xfId="0" applyNumberFormat="1" applyFont="1" applyBorder="1" applyAlignment="1" applyProtection="1">
      <alignment horizontal="center"/>
      <protection locked="0"/>
    </xf>
    <xf numFmtId="1" fontId="2" fillId="0" borderId="0" xfId="0" applyNumberFormat="1" applyFont="1" applyProtection="1">
      <protection locked="0"/>
    </xf>
    <xf numFmtId="1" fontId="2" fillId="0" borderId="0" xfId="0" applyNumberFormat="1" applyFont="1" applyAlignment="1" applyProtection="1">
      <alignment horizontal="center"/>
      <protection locked="0"/>
    </xf>
    <xf numFmtId="44" fontId="2" fillId="0" borderId="1" xfId="2" applyFont="1" applyBorder="1" applyAlignment="1" applyProtection="1">
      <protection locked="0"/>
    </xf>
    <xf numFmtId="44" fontId="2" fillId="0" borderId="17" xfId="2" applyFont="1" applyBorder="1" applyAlignment="1" applyProtection="1">
      <protection locked="0"/>
    </xf>
    <xf numFmtId="44" fontId="2" fillId="0" borderId="18" xfId="2" applyFont="1" applyBorder="1" applyAlignment="1" applyProtection="1">
      <protection locked="0"/>
    </xf>
    <xf numFmtId="44" fontId="2" fillId="0" borderId="0" xfId="0" applyNumberFormat="1" applyFont="1" applyProtection="1">
      <protection locked="0"/>
    </xf>
    <xf numFmtId="0" fontId="10" fillId="0" borderId="0" xfId="0" applyFont="1" applyAlignment="1" applyProtection="1">
      <alignment horizontal="right"/>
    </xf>
    <xf numFmtId="164" fontId="10" fillId="0" borderId="0" xfId="0" applyNumberFormat="1" applyFont="1" applyAlignment="1" applyProtection="1">
      <alignment horizontal="right"/>
    </xf>
    <xf numFmtId="164" fontId="3" fillId="0" borderId="0" xfId="0" applyNumberFormat="1" applyFont="1" applyAlignment="1" applyProtection="1">
      <alignment horizontal="right"/>
    </xf>
    <xf numFmtId="44" fontId="2" fillId="0" borderId="1" xfId="0" applyNumberFormat="1" applyFont="1" applyBorder="1" applyProtection="1"/>
    <xf numFmtId="44" fontId="2" fillId="0" borderId="1" xfId="2" applyFont="1" applyBorder="1" applyAlignment="1" applyProtection="1">
      <alignment horizontal="center"/>
    </xf>
    <xf numFmtId="0" fontId="2" fillId="0" borderId="1" xfId="0" applyFont="1" applyBorder="1" applyAlignment="1" applyProtection="1">
      <alignment horizontal="center"/>
    </xf>
    <xf numFmtId="0" fontId="9" fillId="0" borderId="1" xfId="0" applyFont="1" applyBorder="1" applyProtection="1"/>
    <xf numFmtId="0" fontId="9" fillId="0" borderId="1" xfId="0" applyFont="1" applyBorder="1" applyAlignment="1" applyProtection="1">
      <alignment horizontal="center"/>
    </xf>
    <xf numFmtId="0" fontId="40" fillId="0" borderId="0" xfId="0" applyFont="1"/>
    <xf numFmtId="0" fontId="37" fillId="0" borderId="0" xfId="0" applyFont="1" applyAlignment="1">
      <alignment horizontal="center"/>
    </xf>
    <xf numFmtId="8" fontId="37" fillId="0" borderId="0" xfId="0" applyNumberFormat="1" applyFont="1"/>
    <xf numFmtId="44" fontId="37" fillId="0" borderId="0" xfId="0" applyNumberFormat="1" applyFont="1"/>
    <xf numFmtId="44" fontId="2" fillId="0" borderId="0" xfId="2" applyNumberFormat="1" applyFont="1" applyProtection="1"/>
    <xf numFmtId="0" fontId="9" fillId="0" borderId="0" xfId="0" applyFont="1" applyAlignment="1" applyProtection="1">
      <alignment horizontal="center"/>
    </xf>
    <xf numFmtId="170" fontId="41" fillId="0" borderId="0" xfId="2" applyNumberFormat="1" applyFont="1" applyProtection="1"/>
    <xf numFmtId="170" fontId="0" fillId="0" borderId="0" xfId="0" applyNumberFormat="1" applyProtection="1"/>
    <xf numFmtId="170" fontId="42" fillId="0" borderId="0" xfId="0" applyNumberFormat="1" applyFont="1" applyProtection="1"/>
    <xf numFmtId="43" fontId="4" fillId="0" borderId="0" xfId="1" applyFont="1" applyProtection="1">
      <protection locked="0"/>
    </xf>
    <xf numFmtId="44" fontId="0" fillId="0" borderId="0" xfId="2" applyFont="1"/>
    <xf numFmtId="6" fontId="4" fillId="0" borderId="16" xfId="0" applyNumberFormat="1" applyFont="1" applyFill="1" applyBorder="1" applyAlignment="1" applyProtection="1">
      <alignment vertical="top" wrapText="1"/>
      <protection locked="0"/>
    </xf>
    <xf numFmtId="8" fontId="9" fillId="0" borderId="0" xfId="0" applyNumberFormat="1" applyFont="1" applyProtection="1"/>
    <xf numFmtId="164" fontId="10" fillId="0" borderId="19" xfId="0" applyNumberFormat="1" applyFont="1" applyBorder="1"/>
    <xf numFmtId="164" fontId="10" fillId="0" borderId="20" xfId="0" applyNumberFormat="1" applyFont="1" applyBorder="1"/>
    <xf numFmtId="164" fontId="10" fillId="0" borderId="21" xfId="0" applyNumberFormat="1" applyFont="1" applyBorder="1"/>
    <xf numFmtId="164" fontId="10" fillId="0" borderId="22" xfId="0" applyNumberFormat="1" applyFont="1" applyBorder="1"/>
    <xf numFmtId="164" fontId="10" fillId="0" borderId="23" xfId="0" applyNumberFormat="1" applyFont="1" applyBorder="1"/>
    <xf numFmtId="164" fontId="10" fillId="0" borderId="24" xfId="0" applyNumberFormat="1" applyFont="1" applyBorder="1"/>
    <xf numFmtId="164" fontId="10" fillId="0" borderId="25" xfId="0" applyNumberFormat="1" applyFont="1" applyBorder="1"/>
    <xf numFmtId="164" fontId="10" fillId="0" borderId="26" xfId="0" applyNumberFormat="1" applyFont="1" applyBorder="1"/>
    <xf numFmtId="0" fontId="10" fillId="0" borderId="0" xfId="0" applyFont="1" applyBorder="1"/>
    <xf numFmtId="0" fontId="10" fillId="0" borderId="27" xfId="0" applyFont="1" applyBorder="1" applyAlignment="1">
      <alignment horizontal="center"/>
    </xf>
    <xf numFmtId="0" fontId="10" fillId="0" borderId="28" xfId="0" applyFont="1" applyBorder="1" applyAlignment="1">
      <alignment horizontal="center"/>
    </xf>
    <xf numFmtId="0" fontId="10" fillId="0" borderId="29" xfId="0" applyFont="1" applyBorder="1" applyAlignment="1">
      <alignment horizontal="center"/>
    </xf>
    <xf numFmtId="1" fontId="10" fillId="0" borderId="27" xfId="0" applyNumberFormat="1" applyFont="1" applyBorder="1" applyAlignment="1">
      <alignment horizontal="center"/>
    </xf>
    <xf numFmtId="1" fontId="10" fillId="0" borderId="28" xfId="0" applyNumberFormat="1" applyFont="1" applyBorder="1" applyAlignment="1">
      <alignment horizontal="center"/>
    </xf>
    <xf numFmtId="1" fontId="10" fillId="0" borderId="29" xfId="0" applyNumberFormat="1" applyFont="1" applyBorder="1" applyAlignment="1">
      <alignment horizontal="center"/>
    </xf>
    <xf numFmtId="167" fontId="10" fillId="0" borderId="30" xfId="0" applyNumberFormat="1" applyFont="1" applyBorder="1" applyAlignment="1">
      <alignment horizontal="center"/>
    </xf>
    <xf numFmtId="167" fontId="10" fillId="0" borderId="31" xfId="0" applyNumberFormat="1" applyFont="1" applyBorder="1" applyAlignment="1">
      <alignment horizontal="center"/>
    </xf>
    <xf numFmtId="167" fontId="10" fillId="0" borderId="32" xfId="0" applyNumberFormat="1" applyFont="1" applyBorder="1" applyAlignment="1">
      <alignment horizontal="center"/>
    </xf>
    <xf numFmtId="164" fontId="10" fillId="0" borderId="27" xfId="0" applyNumberFormat="1" applyFont="1" applyBorder="1" applyAlignment="1">
      <alignment horizontal="center"/>
    </xf>
    <xf numFmtId="164" fontId="10" fillId="0" borderId="28" xfId="0" applyNumberFormat="1" applyFont="1" applyBorder="1" applyAlignment="1">
      <alignment horizontal="center"/>
    </xf>
    <xf numFmtId="164" fontId="10" fillId="0" borderId="29" xfId="0" applyNumberFormat="1" applyFont="1" applyBorder="1" applyAlignment="1">
      <alignment horizontal="center"/>
    </xf>
    <xf numFmtId="164" fontId="10" fillId="0" borderId="30" xfId="0" applyNumberFormat="1" applyFont="1" applyBorder="1" applyAlignment="1">
      <alignment horizontal="center"/>
    </xf>
    <xf numFmtId="164" fontId="10" fillId="0" borderId="31" xfId="0" applyNumberFormat="1" applyFont="1" applyBorder="1" applyAlignment="1">
      <alignment horizontal="center"/>
    </xf>
    <xf numFmtId="164" fontId="10" fillId="0" borderId="32" xfId="0" applyNumberFormat="1" applyFont="1" applyBorder="1" applyAlignment="1">
      <alignment horizontal="center"/>
    </xf>
    <xf numFmtId="166" fontId="10" fillId="0" borderId="19" xfId="0" applyNumberFormat="1" applyFont="1" applyBorder="1"/>
    <xf numFmtId="166" fontId="10" fillId="0" borderId="20" xfId="0" applyNumberFormat="1" applyFont="1" applyBorder="1"/>
    <xf numFmtId="166" fontId="10" fillId="0" borderId="21" xfId="0" applyNumberFormat="1" applyFont="1" applyBorder="1"/>
    <xf numFmtId="166" fontId="10" fillId="0" borderId="22" xfId="0" applyNumberFormat="1" applyFont="1" applyBorder="1"/>
    <xf numFmtId="166" fontId="10" fillId="0" borderId="23" xfId="0" applyNumberFormat="1" applyFont="1" applyBorder="1"/>
    <xf numFmtId="166" fontId="10" fillId="0" borderId="24" xfId="0" applyNumberFormat="1" applyFont="1" applyBorder="1"/>
    <xf numFmtId="166" fontId="10" fillId="0" borderId="25" xfId="0" applyNumberFormat="1" applyFont="1" applyBorder="1"/>
    <xf numFmtId="166" fontId="10" fillId="0" borderId="26" xfId="0" applyNumberFormat="1" applyFont="1" applyBorder="1"/>
    <xf numFmtId="0" fontId="1" fillId="0" borderId="0" xfId="0" applyFont="1"/>
    <xf numFmtId="0" fontId="37" fillId="0" borderId="0" xfId="0" applyFont="1" applyAlignment="1" applyProtection="1">
      <alignment horizontal="left"/>
    </xf>
    <xf numFmtId="9" fontId="2" fillId="0" borderId="0" xfId="0" applyNumberFormat="1" applyFont="1" applyProtection="1"/>
    <xf numFmtId="2" fontId="4" fillId="0" borderId="0" xfId="0" applyNumberFormat="1" applyFont="1" applyAlignment="1" applyProtection="1">
      <alignment horizontal="center"/>
      <protection locked="0"/>
    </xf>
    <xf numFmtId="0" fontId="43" fillId="0" borderId="0" xfId="0" applyFont="1" applyAlignment="1">
      <alignment vertical="center"/>
    </xf>
    <xf numFmtId="0" fontId="44" fillId="0" borderId="0" xfId="0" applyFont="1" applyAlignment="1">
      <alignment horizontal="justify" vertical="center"/>
    </xf>
    <xf numFmtId="0" fontId="44" fillId="0" borderId="0" xfId="0" applyFont="1"/>
    <xf numFmtId="0" fontId="2" fillId="0" borderId="1" xfId="0" applyFont="1" applyBorder="1" applyAlignment="1">
      <alignment vertical="top" wrapText="1"/>
    </xf>
    <xf numFmtId="0" fontId="7" fillId="0" borderId="1" xfId="0" applyFont="1" applyBorder="1" applyAlignment="1">
      <alignment vertical="top" wrapText="1"/>
    </xf>
  </cellXfs>
  <cellStyles count="4">
    <cellStyle name="Comma" xfId="1" builtinId="3"/>
    <cellStyle name="Currency" xfId="2" builtinId="4"/>
    <cellStyle name="Normal" xfId="0" builtinId="0"/>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3266185476815"/>
          <c:y val="3.75116652085156E-2"/>
          <c:w val="0.80310783027121602"/>
          <c:h val="0.84234106153397503"/>
        </c:manualLayout>
      </c:layout>
      <c:lineChart>
        <c:grouping val="standard"/>
        <c:varyColors val="0"/>
        <c:ser>
          <c:idx val="0"/>
          <c:order val="0"/>
          <c:tx>
            <c:v>With Manure Utilization</c:v>
          </c:tx>
          <c:marker>
            <c:symbol val="none"/>
          </c:marker>
          <c:dLbls>
            <c:spPr>
              <a:effectLst>
                <a:outerShdw blurRad="50800" dist="50800" dir="5400000" algn="ctr" rotWithShape="0">
                  <a:srgbClr val="0070C0"/>
                </a:outerShdw>
              </a:effectLst>
            </c:spPr>
            <c:dLblPos val="t"/>
            <c:showLegendKey val="0"/>
            <c:showVal val="1"/>
            <c:showCatName val="0"/>
            <c:showSerName val="0"/>
            <c:showPercent val="0"/>
            <c:showBubbleSize val="0"/>
            <c:showLeaderLines val="0"/>
          </c:dLbls>
          <c:cat>
            <c:numRef>
              <c:f>'Cost of Production'!$H$149:$H$159</c:f>
              <c:numCache>
                <c:formatCode>_(* #,##0.00_);_(* \(#,##0.00\);_(* "-"??_);_(@_)</c:formatCode>
                <c:ptCount val="11"/>
              </c:numCache>
            </c:numRef>
          </c:cat>
          <c:val>
            <c:numRef>
              <c:f>'Cost of Production'!$I$149:$I$159</c:f>
              <c:numCache>
                <c:formatCode>_("$"* #,##0_);_("$"* \(#,##0\);_("$"* "-"??_);_(@_)</c:formatCode>
                <c:ptCount val="11"/>
              </c:numCache>
            </c:numRef>
          </c:val>
          <c:smooth val="0"/>
        </c:ser>
        <c:ser>
          <c:idx val="1"/>
          <c:order val="1"/>
          <c:tx>
            <c:v>Without Manure Utilization</c:v>
          </c:tx>
          <c:spPr>
            <a:ln>
              <a:solidFill>
                <a:srgbClr val="00B050"/>
              </a:solidFill>
            </a:ln>
            <a:effectLst>
              <a:outerShdw blurRad="50800" dist="50800" dir="5400000" algn="ctr" rotWithShape="0">
                <a:schemeClr val="bg1"/>
              </a:outerShdw>
            </a:effectLst>
          </c:spPr>
          <c:marker>
            <c:symbol val="none"/>
          </c:marker>
          <c:dLbls>
            <c:spPr>
              <a:effectLst>
                <a:outerShdw blurRad="50800" dist="50800" dir="5400000" algn="ctr" rotWithShape="0">
                  <a:srgbClr val="00B050"/>
                </a:outerShdw>
              </a:effectLst>
            </c:spPr>
            <c:dLblPos val="b"/>
            <c:showLegendKey val="0"/>
            <c:showVal val="1"/>
            <c:showCatName val="0"/>
            <c:showSerName val="0"/>
            <c:showPercent val="0"/>
            <c:showBubbleSize val="0"/>
            <c:showLeaderLines val="0"/>
          </c:dLbls>
          <c:val>
            <c:numRef>
              <c:f>'Cost of Production'!$L$149:$L$159</c:f>
              <c:numCache>
                <c:formatCode>_("$"* #,##0_);_("$"* \(#,##0\);_("$"* "-"??_);_(@_)</c:formatCode>
                <c:ptCount val="11"/>
              </c:numCache>
            </c:numRef>
          </c:val>
          <c:smooth val="0"/>
        </c:ser>
        <c:dLbls>
          <c:showLegendKey val="0"/>
          <c:showVal val="0"/>
          <c:showCatName val="0"/>
          <c:showSerName val="0"/>
          <c:showPercent val="0"/>
          <c:showBubbleSize val="0"/>
        </c:dLbls>
        <c:marker val="1"/>
        <c:smooth val="0"/>
        <c:axId val="77665792"/>
        <c:axId val="77669504"/>
      </c:lineChart>
      <c:catAx>
        <c:axId val="77665792"/>
        <c:scaling>
          <c:orientation val="minMax"/>
        </c:scaling>
        <c:delete val="0"/>
        <c:axPos val="b"/>
        <c:numFmt formatCode="_(* #,##0.00_);_(* \(#,##0.00\);_(* &quot;-&quot;??_);_(@_)" sourceLinked="1"/>
        <c:majorTickMark val="out"/>
        <c:minorTickMark val="none"/>
        <c:tickLblPos val="nextTo"/>
        <c:crossAx val="77669504"/>
        <c:crosses val="autoZero"/>
        <c:auto val="1"/>
        <c:lblAlgn val="ctr"/>
        <c:lblOffset val="100"/>
        <c:noMultiLvlLbl val="0"/>
      </c:catAx>
      <c:valAx>
        <c:axId val="77669504"/>
        <c:scaling>
          <c:orientation val="minMax"/>
        </c:scaling>
        <c:delete val="0"/>
        <c:axPos val="l"/>
        <c:majorGridlines/>
        <c:numFmt formatCode="_(&quot;$&quot;* #,##0_);_(&quot;$&quot;* \(#,##0\);_(&quot;$&quot;* &quot;-&quot;??_);_(@_)" sourceLinked="1"/>
        <c:majorTickMark val="out"/>
        <c:minorTickMark val="none"/>
        <c:tickLblPos val="nextTo"/>
        <c:spPr>
          <a:ln>
            <a:solidFill>
              <a:schemeClr val="accent1"/>
            </a:solidFill>
          </a:ln>
        </c:spPr>
        <c:crossAx val="77665792"/>
        <c:crosses val="autoZero"/>
        <c:crossBetween val="between"/>
      </c:valAx>
      <c:spPr>
        <a:noFill/>
        <a:ln>
          <a:solidFill>
            <a:schemeClr val="accent1"/>
          </a:solidFill>
        </a:ln>
      </c:spPr>
    </c:plotArea>
    <c:legend>
      <c:legendPos val="r"/>
      <c:layout>
        <c:manualLayout>
          <c:xMode val="edge"/>
          <c:yMode val="edge"/>
          <c:x val="0.158333552055993"/>
          <c:y val="0.88889180519101796"/>
          <c:w val="0.76666819772528405"/>
          <c:h val="7.2917031204432797E-2"/>
        </c:manualLayout>
      </c:layout>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n-US"/>
              <a:t>Break-Even Soybean  Price for Alternative Corn
 Prices and Corn:Soybean Yields</a:t>
            </a:r>
          </a:p>
        </c:rich>
      </c:tx>
      <c:layout>
        <c:manualLayout>
          <c:xMode val="edge"/>
          <c:yMode val="edge"/>
          <c:x val="0.112288358023044"/>
          <c:y val="1.13636363636364E-2"/>
        </c:manualLayout>
      </c:layout>
      <c:overlay val="0"/>
      <c:spPr>
        <a:noFill/>
        <a:ln w="25400">
          <a:noFill/>
        </a:ln>
      </c:spPr>
    </c:title>
    <c:autoTitleDeleted val="0"/>
    <c:plotArea>
      <c:layout>
        <c:manualLayout>
          <c:layoutTarget val="inner"/>
          <c:xMode val="edge"/>
          <c:yMode val="edge"/>
          <c:x val="0.17161034702142999"/>
          <c:y val="0.170454545454545"/>
          <c:w val="0.69915326564286095"/>
          <c:h val="0.6"/>
        </c:manualLayout>
      </c:layout>
      <c:scatterChart>
        <c:scatterStyle val="lineMarker"/>
        <c:varyColors val="0"/>
        <c:ser>
          <c:idx val="0"/>
          <c:order val="0"/>
          <c:tx>
            <c:v> 45 Bu Soys</c:v>
          </c:tx>
          <c:spPr>
            <a:ln w="12700">
              <a:solidFill>
                <a:srgbClr val="000080"/>
              </a:solidFill>
              <a:prstDash val="solid"/>
            </a:ln>
          </c:spPr>
          <c:marker>
            <c:symbol val="diamond"/>
            <c:size val="5"/>
            <c:spPr>
              <a:solidFill>
                <a:srgbClr val="000080"/>
              </a:solidFill>
              <a:ln>
                <a:solidFill>
                  <a:srgbClr val="000080"/>
                </a:solidFill>
                <a:prstDash val="solid"/>
              </a:ln>
            </c:spPr>
          </c:marker>
          <c:xVal>
            <c:numRef>
              <c:f>'Corn-Soys'!$C$35:$C$47</c:f>
              <c:numCache>
                <c:formatCode>0.00</c:formatCode>
                <c:ptCount val="13"/>
                <c:pt idx="0">
                  <c:v>4</c:v>
                </c:pt>
                <c:pt idx="1">
                  <c:v>4.25</c:v>
                </c:pt>
                <c:pt idx="2">
                  <c:v>4.5</c:v>
                </c:pt>
                <c:pt idx="3">
                  <c:v>4.75</c:v>
                </c:pt>
                <c:pt idx="4">
                  <c:v>5</c:v>
                </c:pt>
                <c:pt idx="5">
                  <c:v>5.25</c:v>
                </c:pt>
                <c:pt idx="6">
                  <c:v>5.5</c:v>
                </c:pt>
                <c:pt idx="7">
                  <c:v>5.75</c:v>
                </c:pt>
                <c:pt idx="8">
                  <c:v>6</c:v>
                </c:pt>
                <c:pt idx="9">
                  <c:v>6.25</c:v>
                </c:pt>
                <c:pt idx="10">
                  <c:v>6.5</c:v>
                </c:pt>
                <c:pt idx="11">
                  <c:v>6.75</c:v>
                </c:pt>
                <c:pt idx="12">
                  <c:v>7</c:v>
                </c:pt>
              </c:numCache>
            </c:numRef>
          </c:xVal>
          <c:yVal>
            <c:numRef>
              <c:f>'Corn-Soys'!$E$35:$E$47</c:f>
              <c:numCache>
                <c:formatCode>"$"#,##0.00</c:formatCode>
                <c:ptCount val="13"/>
                <c:pt idx="0">
                  <c:v>9.0637030965391627</c:v>
                </c:pt>
                <c:pt idx="1">
                  <c:v>10.008147540983607</c:v>
                </c:pt>
                <c:pt idx="2">
                  <c:v>10.952591985428052</c:v>
                </c:pt>
                <c:pt idx="3">
                  <c:v>11.897036429872497</c:v>
                </c:pt>
                <c:pt idx="4">
                  <c:v>12.841480874316941</c:v>
                </c:pt>
                <c:pt idx="5">
                  <c:v>13.785925318761386</c:v>
                </c:pt>
                <c:pt idx="6">
                  <c:v>14.730369763205831</c:v>
                </c:pt>
                <c:pt idx="7">
                  <c:v>15.674814207650275</c:v>
                </c:pt>
                <c:pt idx="8">
                  <c:v>16.619258652094718</c:v>
                </c:pt>
                <c:pt idx="9">
                  <c:v>17.563703096539165</c:v>
                </c:pt>
                <c:pt idx="10">
                  <c:v>18.508147540983607</c:v>
                </c:pt>
                <c:pt idx="11">
                  <c:v>19.452591985428054</c:v>
                </c:pt>
                <c:pt idx="12">
                  <c:v>20.397036429872497</c:v>
                </c:pt>
              </c:numCache>
            </c:numRef>
          </c:yVal>
          <c:smooth val="0"/>
        </c:ser>
        <c:ser>
          <c:idx val="1"/>
          <c:order val="1"/>
          <c:tx>
            <c:v>55 Bu Soys</c:v>
          </c:tx>
          <c:spPr>
            <a:ln w="12700">
              <a:solidFill>
                <a:srgbClr val="FF00FF"/>
              </a:solidFill>
              <a:prstDash val="solid"/>
            </a:ln>
          </c:spPr>
          <c:marker>
            <c:symbol val="square"/>
            <c:size val="5"/>
            <c:spPr>
              <a:solidFill>
                <a:srgbClr val="FF00FF"/>
              </a:solidFill>
              <a:ln>
                <a:solidFill>
                  <a:srgbClr val="FF00FF"/>
                </a:solidFill>
                <a:prstDash val="solid"/>
              </a:ln>
            </c:spPr>
          </c:marker>
          <c:xVal>
            <c:numRef>
              <c:f>'Corn-Soys'!$C$35:$C$47</c:f>
              <c:numCache>
                <c:formatCode>0.00</c:formatCode>
                <c:ptCount val="13"/>
                <c:pt idx="0">
                  <c:v>4</c:v>
                </c:pt>
                <c:pt idx="1">
                  <c:v>4.25</c:v>
                </c:pt>
                <c:pt idx="2">
                  <c:v>4.5</c:v>
                </c:pt>
                <c:pt idx="3">
                  <c:v>4.75</c:v>
                </c:pt>
                <c:pt idx="4">
                  <c:v>5</c:v>
                </c:pt>
                <c:pt idx="5">
                  <c:v>5.25</c:v>
                </c:pt>
                <c:pt idx="6">
                  <c:v>5.5</c:v>
                </c:pt>
                <c:pt idx="7">
                  <c:v>5.75</c:v>
                </c:pt>
                <c:pt idx="8">
                  <c:v>6</c:v>
                </c:pt>
                <c:pt idx="9">
                  <c:v>6.25</c:v>
                </c:pt>
                <c:pt idx="10">
                  <c:v>6.5</c:v>
                </c:pt>
                <c:pt idx="11">
                  <c:v>6.75</c:v>
                </c:pt>
                <c:pt idx="12">
                  <c:v>7</c:v>
                </c:pt>
              </c:numCache>
            </c:numRef>
          </c:xVal>
          <c:yVal>
            <c:numRef>
              <c:f>'Corn-Soys'!$D$35:$D$47</c:f>
              <c:numCache>
                <c:formatCode>"$"#,##0.00</c:formatCode>
                <c:ptCount val="13"/>
                <c:pt idx="0">
                  <c:v>7.4903025335320432</c:v>
                </c:pt>
                <c:pt idx="1">
                  <c:v>8.2630298062593166</c:v>
                </c:pt>
                <c:pt idx="2">
                  <c:v>9.0357570789865882</c:v>
                </c:pt>
                <c:pt idx="3">
                  <c:v>9.8084843517138616</c:v>
                </c:pt>
                <c:pt idx="4">
                  <c:v>10.581211624441135</c:v>
                </c:pt>
                <c:pt idx="5">
                  <c:v>11.353938897168407</c:v>
                </c:pt>
                <c:pt idx="6">
                  <c:v>12.12666616989568</c:v>
                </c:pt>
                <c:pt idx="7">
                  <c:v>12.899393442622952</c:v>
                </c:pt>
                <c:pt idx="8">
                  <c:v>13.672120715350225</c:v>
                </c:pt>
                <c:pt idx="9">
                  <c:v>14.444847988077498</c:v>
                </c:pt>
                <c:pt idx="10">
                  <c:v>15.21757526080477</c:v>
                </c:pt>
                <c:pt idx="11">
                  <c:v>15.990302533532043</c:v>
                </c:pt>
                <c:pt idx="12">
                  <c:v>16.763029806259315</c:v>
                </c:pt>
              </c:numCache>
            </c:numRef>
          </c:yVal>
          <c:smooth val="0"/>
        </c:ser>
        <c:dLbls>
          <c:showLegendKey val="0"/>
          <c:showVal val="0"/>
          <c:showCatName val="0"/>
          <c:showSerName val="0"/>
          <c:showPercent val="0"/>
          <c:showBubbleSize val="0"/>
        </c:dLbls>
        <c:axId val="78103680"/>
        <c:axId val="83344000"/>
      </c:scatterChart>
      <c:valAx>
        <c:axId val="78103680"/>
        <c:scaling>
          <c:orientation val="minMax"/>
          <c:max val="7"/>
          <c:min val="4"/>
        </c:scaling>
        <c:delete val="0"/>
        <c:axPos val="b"/>
        <c:majorGridlines>
          <c:spPr>
            <a:ln w="3175">
              <a:solidFill>
                <a:srgbClr val="000000"/>
              </a:solidFill>
              <a:prstDash val="solid"/>
            </a:ln>
          </c:spPr>
        </c:majorGridlines>
        <c:title>
          <c:tx>
            <c:rich>
              <a:bodyPr/>
              <a:lstStyle/>
              <a:p>
                <a:pPr>
                  <a:defRPr sz="1200" b="1" i="0" u="none" strike="noStrike" baseline="0">
                    <a:solidFill>
                      <a:srgbClr val="000000"/>
                    </a:solidFill>
                    <a:latin typeface="Arial"/>
                    <a:ea typeface="Arial"/>
                    <a:cs typeface="Arial"/>
                  </a:defRPr>
                </a:pPr>
                <a:r>
                  <a:rPr lang="en-US"/>
                  <a:t>Corn price ($/bu)</a:t>
                </a:r>
              </a:p>
            </c:rich>
          </c:tx>
          <c:layout>
            <c:manualLayout>
              <c:xMode val="edge"/>
              <c:yMode val="edge"/>
              <c:x val="0.38018928777970601"/>
              <c:y val="0.83411548556430504"/>
            </c:manualLayout>
          </c:layout>
          <c:overlay val="0"/>
          <c:spPr>
            <a:noFill/>
            <a:ln w="25400">
              <a:noFill/>
            </a:ln>
          </c:spPr>
        </c:title>
        <c:numFmt formatCode="0.00"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83344000"/>
        <c:crossesAt val="0"/>
        <c:crossBetween val="midCat"/>
        <c:majorUnit val="0.5"/>
        <c:minorUnit val="0.4"/>
      </c:valAx>
      <c:valAx>
        <c:axId val="83344000"/>
        <c:scaling>
          <c:orientation val="minMax"/>
          <c:max val="19"/>
          <c:min val="6"/>
        </c:scaling>
        <c:delete val="0"/>
        <c:axPos val="l"/>
        <c:majorGridlines>
          <c:spPr>
            <a:ln w="3175">
              <a:solidFill>
                <a:srgbClr val="000000"/>
              </a:solidFill>
              <a:prstDash val="solid"/>
            </a:ln>
          </c:spPr>
        </c:majorGridlines>
        <c:title>
          <c:tx>
            <c:rich>
              <a:bodyPr/>
              <a:lstStyle/>
              <a:p>
                <a:pPr>
                  <a:defRPr sz="1200" b="1" i="0" u="none" strike="noStrike" baseline="0">
                    <a:solidFill>
                      <a:srgbClr val="000000"/>
                    </a:solidFill>
                    <a:latin typeface="Arial"/>
                    <a:ea typeface="Arial"/>
                    <a:cs typeface="Arial"/>
                  </a:defRPr>
                </a:pPr>
                <a:r>
                  <a:rPr lang="en-US"/>
                  <a:t>Soybean Price ($/bu)</a:t>
                </a:r>
              </a:p>
            </c:rich>
          </c:tx>
          <c:layout>
            <c:manualLayout>
              <c:xMode val="edge"/>
              <c:yMode val="edge"/>
              <c:x val="2.22672271898216E-2"/>
              <c:y val="0.22164972560248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78103680"/>
        <c:crossesAt val="0"/>
        <c:crossBetween val="midCat"/>
        <c:majorUnit val="1"/>
        <c:minorUnit val="0.5"/>
      </c:valAx>
      <c:spPr>
        <a:solidFill>
          <a:srgbClr val="C0C0C0"/>
        </a:solidFill>
        <a:ln w="12700">
          <a:solidFill>
            <a:srgbClr val="808080"/>
          </a:solidFill>
          <a:prstDash val="solid"/>
        </a:ln>
      </c:spPr>
    </c:plotArea>
    <c:legend>
      <c:legendPos val="r"/>
      <c:layout>
        <c:manualLayout>
          <c:xMode val="edge"/>
          <c:yMode val="edge"/>
          <c:x val="0.199152764802705"/>
          <c:y val="0.90681818181818197"/>
          <c:w val="0.58686507406913102"/>
          <c:h val="8.1818181818181707E-2"/>
        </c:manualLayout>
      </c:layout>
      <c:overlay val="0"/>
      <c:spPr>
        <a:solidFill>
          <a:srgbClr val="FFFFFF"/>
        </a:solidFill>
        <a:ln w="3175">
          <a:solidFill>
            <a:srgbClr val="000000"/>
          </a:solidFill>
          <a:prstDash val="solid"/>
        </a:ln>
      </c:spPr>
      <c:txPr>
        <a:bodyPr/>
        <a:lstStyle/>
        <a:p>
          <a:pPr>
            <a:defRPr sz="101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orientation="landscape" horizontalDpi="-3" verticalDpi="-3"/>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75" b="1" i="0" u="none" strike="noStrike" baseline="0">
                <a:solidFill>
                  <a:srgbClr val="000000"/>
                </a:solidFill>
                <a:latin typeface="Arial"/>
                <a:ea typeface="Arial"/>
                <a:cs typeface="Arial"/>
              </a:defRPr>
            </a:pPr>
            <a:r>
              <a:rPr lang="en-US"/>
              <a:t>Break-Even Alfalfa Price for Alternative Corn Prices and Corn:Alf Yields</a:t>
            </a:r>
          </a:p>
        </c:rich>
      </c:tx>
      <c:layout>
        <c:manualLayout>
          <c:xMode val="edge"/>
          <c:yMode val="edge"/>
          <c:x val="8.3900413890571304E-2"/>
          <c:y val="2.8490150852355602E-2"/>
        </c:manualLayout>
      </c:layout>
      <c:overlay val="0"/>
      <c:spPr>
        <a:noFill/>
        <a:ln w="25400">
          <a:noFill/>
        </a:ln>
      </c:spPr>
    </c:title>
    <c:autoTitleDeleted val="0"/>
    <c:plotArea>
      <c:layout>
        <c:manualLayout>
          <c:layoutTarget val="inner"/>
          <c:xMode val="edge"/>
          <c:yMode val="edge"/>
          <c:x val="0.22596153846153799"/>
          <c:y val="0.143939748904447"/>
          <c:w val="0.70192307692307698"/>
          <c:h val="0.54798114933798303"/>
        </c:manualLayout>
      </c:layout>
      <c:scatterChart>
        <c:scatterStyle val="lineMarker"/>
        <c:varyColors val="0"/>
        <c:ser>
          <c:idx val="0"/>
          <c:order val="0"/>
          <c:tx>
            <c:v>4 Ton</c:v>
          </c:tx>
          <c:spPr>
            <a:ln w="12700">
              <a:solidFill>
                <a:srgbClr val="000080"/>
              </a:solidFill>
              <a:prstDash val="solid"/>
            </a:ln>
          </c:spPr>
          <c:marker>
            <c:symbol val="diamond"/>
            <c:size val="5"/>
            <c:spPr>
              <a:solidFill>
                <a:srgbClr val="000080"/>
              </a:solidFill>
              <a:ln>
                <a:solidFill>
                  <a:srgbClr val="000080"/>
                </a:solidFill>
                <a:prstDash val="solid"/>
              </a:ln>
            </c:spPr>
          </c:marker>
          <c:xVal>
            <c:numRef>
              <c:f>'Alfalfa-Corn'!$C$35:$C$45</c:f>
              <c:numCache>
                <c:formatCode>0.00</c:formatCode>
                <c:ptCount val="11"/>
                <c:pt idx="0">
                  <c:v>3</c:v>
                </c:pt>
                <c:pt idx="1">
                  <c:v>3.25</c:v>
                </c:pt>
                <c:pt idx="2">
                  <c:v>3.5</c:v>
                </c:pt>
                <c:pt idx="3">
                  <c:v>3.75</c:v>
                </c:pt>
                <c:pt idx="4">
                  <c:v>4</c:v>
                </c:pt>
                <c:pt idx="5">
                  <c:v>4.25</c:v>
                </c:pt>
                <c:pt idx="6">
                  <c:v>4.5</c:v>
                </c:pt>
                <c:pt idx="7">
                  <c:v>4.75</c:v>
                </c:pt>
                <c:pt idx="8">
                  <c:v>5</c:v>
                </c:pt>
                <c:pt idx="9">
                  <c:v>5.25</c:v>
                </c:pt>
                <c:pt idx="10">
                  <c:v>5.5</c:v>
                </c:pt>
              </c:numCache>
            </c:numRef>
          </c:xVal>
          <c:yVal>
            <c:numRef>
              <c:f>'Alfalfa-Corn'!$D$35:$D$45</c:f>
              <c:numCache>
                <c:formatCode>"$"#,##0.00</c:formatCode>
                <c:ptCount val="11"/>
                <c:pt idx="0">
                  <c:v>90.83907786885247</c:v>
                </c:pt>
                <c:pt idx="1">
                  <c:v>101.46407786885247</c:v>
                </c:pt>
                <c:pt idx="2">
                  <c:v>112.08907786885247</c:v>
                </c:pt>
                <c:pt idx="3">
                  <c:v>122.71407786885247</c:v>
                </c:pt>
                <c:pt idx="4">
                  <c:v>133.33907786885248</c:v>
                </c:pt>
                <c:pt idx="5">
                  <c:v>143.96407786885248</c:v>
                </c:pt>
                <c:pt idx="6">
                  <c:v>154.58907786885248</c:v>
                </c:pt>
                <c:pt idx="7">
                  <c:v>165.21407786885248</c:v>
                </c:pt>
                <c:pt idx="8">
                  <c:v>175.83907786885248</c:v>
                </c:pt>
                <c:pt idx="9">
                  <c:v>186.46407786885248</c:v>
                </c:pt>
                <c:pt idx="10">
                  <c:v>197.08907786885248</c:v>
                </c:pt>
              </c:numCache>
            </c:numRef>
          </c:yVal>
          <c:smooth val="0"/>
        </c:ser>
        <c:ser>
          <c:idx val="1"/>
          <c:order val="1"/>
          <c:tx>
            <c:v>5 ton</c:v>
          </c:tx>
          <c:spPr>
            <a:ln w="12700">
              <a:solidFill>
                <a:srgbClr val="FF00FF"/>
              </a:solidFill>
              <a:prstDash val="solid"/>
            </a:ln>
          </c:spPr>
          <c:marker>
            <c:symbol val="square"/>
            <c:size val="5"/>
            <c:spPr>
              <a:solidFill>
                <a:srgbClr val="FF00FF"/>
              </a:solidFill>
              <a:ln>
                <a:solidFill>
                  <a:srgbClr val="FF00FF"/>
                </a:solidFill>
                <a:prstDash val="solid"/>
              </a:ln>
            </c:spPr>
          </c:marker>
          <c:xVal>
            <c:numRef>
              <c:f>'Alfalfa-Corn'!$C$35:$C$45</c:f>
              <c:numCache>
                <c:formatCode>0.00</c:formatCode>
                <c:ptCount val="11"/>
                <c:pt idx="0">
                  <c:v>3</c:v>
                </c:pt>
                <c:pt idx="1">
                  <c:v>3.25</c:v>
                </c:pt>
                <c:pt idx="2">
                  <c:v>3.5</c:v>
                </c:pt>
                <c:pt idx="3">
                  <c:v>3.75</c:v>
                </c:pt>
                <c:pt idx="4">
                  <c:v>4</c:v>
                </c:pt>
                <c:pt idx="5">
                  <c:v>4.25</c:v>
                </c:pt>
                <c:pt idx="6">
                  <c:v>4.5</c:v>
                </c:pt>
                <c:pt idx="7">
                  <c:v>4.75</c:v>
                </c:pt>
                <c:pt idx="8">
                  <c:v>5</c:v>
                </c:pt>
                <c:pt idx="9">
                  <c:v>5.25</c:v>
                </c:pt>
                <c:pt idx="10">
                  <c:v>5.5</c:v>
                </c:pt>
              </c:numCache>
            </c:numRef>
          </c:xVal>
          <c:yVal>
            <c:numRef>
              <c:f>'Alfalfa-Corn'!$E$35:$E$45</c:f>
              <c:numCache>
                <c:formatCode>"$"#,##0.00</c:formatCode>
                <c:ptCount val="11"/>
                <c:pt idx="0">
                  <c:v>76.671262295081974</c:v>
                </c:pt>
                <c:pt idx="1">
                  <c:v>85.171262295081974</c:v>
                </c:pt>
                <c:pt idx="2">
                  <c:v>93.671262295081974</c:v>
                </c:pt>
                <c:pt idx="3">
                  <c:v>102.17126229508197</c:v>
                </c:pt>
                <c:pt idx="4">
                  <c:v>110.67126229508199</c:v>
                </c:pt>
                <c:pt idx="5">
                  <c:v>119.17126229508199</c:v>
                </c:pt>
                <c:pt idx="6">
                  <c:v>127.67126229508199</c:v>
                </c:pt>
                <c:pt idx="7">
                  <c:v>136.17126229508199</c:v>
                </c:pt>
                <c:pt idx="8">
                  <c:v>144.67126229508199</c:v>
                </c:pt>
                <c:pt idx="9">
                  <c:v>153.17126229508199</c:v>
                </c:pt>
                <c:pt idx="10">
                  <c:v>161.67126229508199</c:v>
                </c:pt>
              </c:numCache>
            </c:numRef>
          </c:yVal>
          <c:smooth val="0"/>
        </c:ser>
        <c:dLbls>
          <c:showLegendKey val="0"/>
          <c:showVal val="0"/>
          <c:showCatName val="0"/>
          <c:showSerName val="0"/>
          <c:showPercent val="0"/>
          <c:showBubbleSize val="0"/>
        </c:dLbls>
        <c:axId val="121545856"/>
        <c:axId val="121548160"/>
      </c:scatterChart>
      <c:valAx>
        <c:axId val="121545856"/>
        <c:scaling>
          <c:orientation val="minMax"/>
          <c:max val="5.5"/>
          <c:min val="3"/>
        </c:scaling>
        <c:delete val="0"/>
        <c:axPos val="b"/>
        <c:majorGridlines>
          <c:spPr>
            <a:ln w="3175">
              <a:solidFill>
                <a:srgbClr val="000000"/>
              </a:solidFill>
              <a:prstDash val="solid"/>
            </a:ln>
          </c:spPr>
        </c:majorGridlines>
        <c:title>
          <c:tx>
            <c:rich>
              <a:bodyPr/>
              <a:lstStyle/>
              <a:p>
                <a:pPr>
                  <a:defRPr sz="1100" b="1" i="0" u="none" strike="noStrike" baseline="0">
                    <a:solidFill>
                      <a:srgbClr val="000000"/>
                    </a:solidFill>
                    <a:latin typeface="Arial"/>
                    <a:ea typeface="Arial"/>
                    <a:cs typeface="Arial"/>
                  </a:defRPr>
                </a:pPr>
                <a:r>
                  <a:rPr lang="en-US"/>
                  <a:t>   Corn Price     </a:t>
                </a:r>
              </a:p>
            </c:rich>
          </c:tx>
          <c:layout>
            <c:manualLayout>
              <c:xMode val="edge"/>
              <c:yMode val="edge"/>
              <c:x val="0.46634615384615402"/>
              <c:y val="0.78788064370741495"/>
            </c:manualLayout>
          </c:layout>
          <c:overlay val="0"/>
          <c:spPr>
            <a:noFill/>
            <a:ln w="25400">
              <a:noFill/>
            </a:ln>
          </c:spPr>
        </c:title>
        <c:numFmt formatCode="\$#,##0.00" sourceLinked="0"/>
        <c:majorTickMark val="out"/>
        <c:minorTickMark val="none"/>
        <c:tickLblPos val="nextTo"/>
        <c:spPr>
          <a:ln w="3175">
            <a:solidFill>
              <a:srgbClr val="000000"/>
            </a:solidFill>
            <a:prstDash val="solid"/>
          </a:ln>
        </c:spPr>
        <c:txPr>
          <a:bodyPr rot="0" vert="horz"/>
          <a:lstStyle/>
          <a:p>
            <a:pPr>
              <a:defRPr sz="1100" b="1" i="0" u="none" strike="noStrike" baseline="0">
                <a:solidFill>
                  <a:srgbClr val="000000"/>
                </a:solidFill>
                <a:latin typeface="Arial"/>
                <a:ea typeface="Arial"/>
                <a:cs typeface="Arial"/>
              </a:defRPr>
            </a:pPr>
            <a:endParaRPr lang="en-US"/>
          </a:p>
        </c:txPr>
        <c:crossAx val="121548160"/>
        <c:crossesAt val="0"/>
        <c:crossBetween val="midCat"/>
        <c:majorUnit val="0.5"/>
        <c:minorUnit val="0.4"/>
      </c:valAx>
      <c:valAx>
        <c:axId val="121548160"/>
        <c:scaling>
          <c:orientation val="minMax"/>
          <c:max val="200"/>
          <c:min val="75"/>
        </c:scaling>
        <c:delete val="0"/>
        <c:axPos val="l"/>
        <c:majorGridlines>
          <c:spPr>
            <a:ln w="3175">
              <a:solidFill>
                <a:srgbClr val="000000"/>
              </a:solidFill>
              <a:prstDash val="solid"/>
            </a:ln>
          </c:spPr>
        </c:majorGridlines>
        <c:title>
          <c:tx>
            <c:rich>
              <a:bodyPr/>
              <a:lstStyle/>
              <a:p>
                <a:pPr>
                  <a:defRPr sz="1100" b="1" i="0" u="none" strike="noStrike" baseline="0">
                    <a:solidFill>
                      <a:srgbClr val="000000"/>
                    </a:solidFill>
                    <a:latin typeface="Arial"/>
                    <a:ea typeface="Arial"/>
                    <a:cs typeface="Arial"/>
                  </a:defRPr>
                </a:pPr>
                <a:r>
                  <a:rPr lang="en-US"/>
                  <a:t>   Alfalfa  Price----   </a:t>
                </a:r>
              </a:p>
            </c:rich>
          </c:tx>
          <c:layout>
            <c:manualLayout>
              <c:xMode val="edge"/>
              <c:yMode val="edge"/>
              <c:x val="4.80769230769231E-2"/>
              <c:y val="0.26010154033776101"/>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100" b="1" i="0" u="none" strike="noStrike" baseline="0">
                <a:solidFill>
                  <a:srgbClr val="000000"/>
                </a:solidFill>
                <a:latin typeface="Arial"/>
                <a:ea typeface="Arial"/>
                <a:cs typeface="Arial"/>
              </a:defRPr>
            </a:pPr>
            <a:endParaRPr lang="en-US"/>
          </a:p>
        </c:txPr>
        <c:crossAx val="121545856"/>
        <c:crosses val="autoZero"/>
        <c:crossBetween val="midCat"/>
        <c:majorUnit val="25"/>
        <c:minorUnit val="10"/>
      </c:valAx>
      <c:spPr>
        <a:solidFill>
          <a:srgbClr val="C0C0C0"/>
        </a:solidFill>
        <a:ln w="12700">
          <a:solidFill>
            <a:srgbClr val="808080"/>
          </a:solidFill>
          <a:prstDash val="solid"/>
        </a:ln>
      </c:spPr>
    </c:plotArea>
    <c:legend>
      <c:legendPos val="r"/>
      <c:layout>
        <c:manualLayout>
          <c:xMode val="edge"/>
          <c:yMode val="edge"/>
          <c:x val="0.293269230769231"/>
          <c:y val="0.91919430525729695"/>
          <c:w val="0.34375"/>
          <c:h val="6.0606325724435903E-2"/>
        </c:manualLayout>
      </c:layout>
      <c:overlay val="0"/>
      <c:spPr>
        <a:solidFill>
          <a:srgbClr val="FFFFFF"/>
        </a:solidFill>
        <a:ln w="3175">
          <a:solidFill>
            <a:srgbClr val="000000"/>
          </a:solidFill>
          <a:prstDash val="solid"/>
        </a:ln>
      </c:spPr>
      <c:txPr>
        <a:bodyPr/>
        <a:lstStyle/>
        <a:p>
          <a:pPr>
            <a:defRPr sz="895" b="1"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975" b="1"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0</xdr:col>
      <xdr:colOff>12700</xdr:colOff>
      <xdr:row>1</xdr:row>
      <xdr:rowOff>0</xdr:rowOff>
    </xdr:from>
    <xdr:to>
      <xdr:col>15</xdr:col>
      <xdr:colOff>63500</xdr:colOff>
      <xdr:row>11</xdr:row>
      <xdr:rowOff>0</xdr:rowOff>
    </xdr:to>
    <xdr:sp macro="" textlink="">
      <xdr:nvSpPr>
        <xdr:cNvPr id="2" name="TextBox 1"/>
        <xdr:cNvSpPr txBox="1"/>
      </xdr:nvSpPr>
      <xdr:spPr>
        <a:xfrm>
          <a:off x="12700" y="152400"/>
          <a:ext cx="10147300" cy="1600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	  </a:t>
          </a:r>
          <a:r>
            <a:rPr lang="en-US" sz="2000" b="1"/>
            <a:t>2014 Cost of Production Break-Even Worksheet</a:t>
          </a:r>
        </a:p>
        <a:p>
          <a:endParaRPr lang="en-US" sz="1800"/>
        </a:p>
        <a:p>
          <a:r>
            <a:rPr lang="en-US" sz="1800"/>
            <a:t>	  FIRM Team Fact Sheet 14-01 • Available at http://firm.msue.msu.edu</a:t>
          </a:r>
        </a:p>
        <a:p>
          <a:r>
            <a:rPr lang="en-US" sz="1800"/>
            <a:t>	  Roger Betz</a:t>
          </a:r>
        </a:p>
        <a:p>
          <a:r>
            <a:rPr lang="en-US" sz="1800"/>
            <a:t>	  Michigan State University Extension • February 2014</a:t>
          </a:r>
        </a:p>
        <a:p>
          <a:r>
            <a:rPr lang="en-US" sz="1100"/>
            <a:t>		</a:t>
          </a:r>
        </a:p>
      </xdr:txBody>
    </xdr:sp>
    <xdr:clientData/>
  </xdr:twoCellAnchor>
  <xdr:twoCellAnchor editAs="oneCell">
    <xdr:from>
      <xdr:col>0</xdr:col>
      <xdr:colOff>12700</xdr:colOff>
      <xdr:row>1</xdr:row>
      <xdr:rowOff>0</xdr:rowOff>
    </xdr:from>
    <xdr:to>
      <xdr:col>1</xdr:col>
      <xdr:colOff>228600</xdr:colOff>
      <xdr:row>8</xdr:row>
      <xdr:rowOff>101600</xdr:rowOff>
    </xdr:to>
    <xdr:pic>
      <xdr:nvPicPr>
        <xdr:cNvPr id="3" name="Picture 2"/>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00" y="190500"/>
          <a:ext cx="1054100" cy="1549400"/>
        </a:xfrm>
        <a:prstGeom prst="rect">
          <a:avLst/>
        </a:prstGeom>
        <a:noFill/>
        <a:ln>
          <a:noFill/>
        </a:ln>
      </xdr:spPr>
    </xdr:pic>
    <xdr:clientData/>
  </xdr:twoCellAnchor>
  <xdr:twoCellAnchor>
    <xdr:from>
      <xdr:col>0</xdr:col>
      <xdr:colOff>25400</xdr:colOff>
      <xdr:row>11</xdr:row>
      <xdr:rowOff>25400</xdr:rowOff>
    </xdr:from>
    <xdr:to>
      <xdr:col>15</xdr:col>
      <xdr:colOff>25400</xdr:colOff>
      <xdr:row>14</xdr:row>
      <xdr:rowOff>25400</xdr:rowOff>
    </xdr:to>
    <xdr:sp macro="" textlink="">
      <xdr:nvSpPr>
        <xdr:cNvPr id="4" name="TextBox 3"/>
        <xdr:cNvSpPr txBox="1"/>
      </xdr:nvSpPr>
      <xdr:spPr>
        <a:xfrm>
          <a:off x="25400" y="1778000"/>
          <a:ext cx="10096500" cy="457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a:t>Roger Betz, is Regional Farm Management Educator, Michigan State University, email betz@msu.edu</a:t>
          </a:r>
        </a:p>
        <a:p>
          <a:endParaRPr lang="en-US" sz="1100"/>
        </a:p>
      </xdr:txBody>
    </xdr:sp>
    <xdr:clientData/>
  </xdr:twoCellAnchor>
  <xdr:twoCellAnchor>
    <xdr:from>
      <xdr:col>2</xdr:col>
      <xdr:colOff>635000</xdr:colOff>
      <xdr:row>14</xdr:row>
      <xdr:rowOff>63500</xdr:rowOff>
    </xdr:from>
    <xdr:to>
      <xdr:col>15</xdr:col>
      <xdr:colOff>63500</xdr:colOff>
      <xdr:row>31</xdr:row>
      <xdr:rowOff>114300</xdr:rowOff>
    </xdr:to>
    <xdr:sp macro="" textlink="">
      <xdr:nvSpPr>
        <xdr:cNvPr id="5" name="TextBox 4"/>
        <xdr:cNvSpPr txBox="1"/>
      </xdr:nvSpPr>
      <xdr:spPr>
        <a:xfrm>
          <a:off x="1981200" y="2273300"/>
          <a:ext cx="8178800" cy="2641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a:t>MSU is an affirmative-action, equal-opportunity employer, committed to achieving excellence through a diverse workforce and inclusive culture that encourages all people to reach their full potential. Michigan State University Extension programs and materials are open to all without regard to race, color, national origin, gender, gender identity, religion, age, height, weight, disability, political beliefs, sexual orientation, marital status, family status or veteran status. Issued in furtherance of MSU Extension work, acts of May 8 and June 30, 1914, in cooperation with the U.S. Department of Agriculture. Thomas G. Coon, Director, MSU Extension, East Lansing, MI 48824. This information is for educational purposes only. Reference to commercial products or trade names does not imply endorsement by MSU Extension or bias against those not mentioned.</a:t>
          </a:r>
        </a:p>
      </xdr:txBody>
    </xdr:sp>
    <xdr:clientData/>
  </xdr:twoCellAnchor>
  <xdr:twoCellAnchor editAs="oneCell">
    <xdr:from>
      <xdr:col>0</xdr:col>
      <xdr:colOff>0</xdr:colOff>
      <xdr:row>13</xdr:row>
      <xdr:rowOff>114300</xdr:rowOff>
    </xdr:from>
    <xdr:to>
      <xdr:col>3</xdr:col>
      <xdr:colOff>0</xdr:colOff>
      <xdr:row>26</xdr:row>
      <xdr:rowOff>76200</xdr:rowOff>
    </xdr:to>
    <xdr:pic>
      <xdr:nvPicPr>
        <xdr:cNvPr id="6" name="Picture 5" descr="http://www.msue.msu.edu/objects/content_revision/download.cfm/revision_id.532529/workspace_id.-4/Extrev.jpg/"/>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2171700"/>
          <a:ext cx="2019300" cy="194310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8</xdr:col>
      <xdr:colOff>257175</xdr:colOff>
      <xdr:row>171</xdr:row>
      <xdr:rowOff>47625</xdr:rowOff>
    </xdr:from>
    <xdr:to>
      <xdr:col>14</xdr:col>
      <xdr:colOff>542925</xdr:colOff>
      <xdr:row>188</xdr:row>
      <xdr:rowOff>38100</xdr:rowOff>
    </xdr:to>
    <xdr:graphicFrame macro="">
      <xdr:nvGraphicFramePr>
        <xdr:cNvPr id="618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2714625</xdr:colOff>
      <xdr:row>189</xdr:row>
      <xdr:rowOff>123825</xdr:rowOff>
    </xdr:from>
    <xdr:to>
      <xdr:col>7</xdr:col>
      <xdr:colOff>491218</xdr:colOff>
      <xdr:row>221</xdr:row>
      <xdr:rowOff>95250</xdr:rowOff>
    </xdr:to>
    <xdr:pic>
      <xdr:nvPicPr>
        <xdr:cNvPr id="6184" name="Picture 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14625" y="32756475"/>
          <a:ext cx="4610100" cy="5153025"/>
        </a:xfrm>
        <a:prstGeom prst="rect">
          <a:avLst/>
        </a:prstGeom>
        <a:noFill/>
        <a:ln>
          <a:noFill/>
        </a:ln>
        <a:effectLst/>
        <a:extLst>
          <a:ext uri="{909E8E84-426E-40DD-AFC4-6F175D3DCCD1}">
            <a14:hiddenFill xmlns:a14="http://schemas.microsoft.com/office/drawing/2010/main">
              <a:solidFill>
                <a:srgbClr val="4F81BD"/>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EEECE1"/>
                </a:outerShdw>
              </a:effectLst>
            </a14:hiddenEffects>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7</xdr:col>
      <xdr:colOff>485775</xdr:colOff>
      <xdr:row>32</xdr:row>
      <xdr:rowOff>9525</xdr:rowOff>
    </xdr:from>
    <xdr:to>
      <xdr:col>15</xdr:col>
      <xdr:colOff>514350</xdr:colOff>
      <xdr:row>51</xdr:row>
      <xdr:rowOff>38100</xdr:rowOff>
    </xdr:to>
    <xdr:graphicFrame macro="">
      <xdr:nvGraphicFramePr>
        <xdr:cNvPr id="317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7</xdr:col>
      <xdr:colOff>304800</xdr:colOff>
      <xdr:row>31</xdr:row>
      <xdr:rowOff>19050</xdr:rowOff>
    </xdr:from>
    <xdr:to>
      <xdr:col>15</xdr:col>
      <xdr:colOff>57150</xdr:colOff>
      <xdr:row>47</xdr:row>
      <xdr:rowOff>142875</xdr:rowOff>
    </xdr:to>
    <xdr:graphicFrame macro="">
      <xdr:nvGraphicFramePr>
        <xdr:cNvPr id="112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6"/>
  <sheetViews>
    <sheetView tabSelected="1" workbookViewId="0">
      <selection activeCell="Q18" sqref="Q18"/>
    </sheetView>
  </sheetViews>
  <sheetFormatPr defaultColWidth="8.85546875" defaultRowHeight="12.75" x14ac:dyDescent="0.2"/>
  <sheetData>
    <row r="2" spans="1:1" ht="15" x14ac:dyDescent="0.2">
      <c r="A2" s="246"/>
    </row>
    <row r="3" spans="1:1" ht="15" x14ac:dyDescent="0.2">
      <c r="A3" s="247"/>
    </row>
    <row r="4" spans="1:1" ht="15" x14ac:dyDescent="0.2">
      <c r="A4" s="247"/>
    </row>
    <row r="5" spans="1:1" ht="15" x14ac:dyDescent="0.2">
      <c r="A5" s="247"/>
    </row>
    <row r="6" spans="1:1" ht="15" x14ac:dyDescent="0.25">
      <c r="A6" s="248"/>
    </row>
  </sheetData>
  <sheetProtection password="DA89" sheet="1" objects="1" scenarios="1" selectLockedCells="1"/>
  <pageMargins left="0.7" right="0.7" top="0.75" bottom="0.75" header="0.3" footer="0.3"/>
  <drawing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I52"/>
  <sheetViews>
    <sheetView zoomScale="130" zoomScaleNormal="130" zoomScalePageLayoutView="130" workbookViewId="0"/>
  </sheetViews>
  <sheetFormatPr defaultColWidth="12.7109375" defaultRowHeight="12.75" x14ac:dyDescent="0.2"/>
  <cols>
    <col min="1" max="1" width="20.7109375" customWidth="1"/>
    <col min="2" max="5" width="17.7109375" customWidth="1"/>
  </cols>
  <sheetData>
    <row r="1" spans="1:7" ht="18" x14ac:dyDescent="0.25">
      <c r="A1" s="44" t="s">
        <v>133</v>
      </c>
      <c r="B1" s="27"/>
      <c r="C1" s="27"/>
      <c r="D1" s="27"/>
      <c r="E1" s="27"/>
    </row>
    <row r="2" spans="1:7" ht="15.75" x14ac:dyDescent="0.25">
      <c r="A2" s="31" t="s">
        <v>250</v>
      </c>
      <c r="B2" s="31"/>
      <c r="C2" s="31" t="s">
        <v>248</v>
      </c>
      <c r="D2" s="31" t="s">
        <v>265</v>
      </c>
      <c r="E2" s="32"/>
    </row>
    <row r="3" spans="1:7" x14ac:dyDescent="0.2">
      <c r="A3" s="249" t="s">
        <v>106</v>
      </c>
      <c r="B3" s="36" t="s">
        <v>10</v>
      </c>
      <c r="C3" s="36" t="s">
        <v>95</v>
      </c>
      <c r="D3" s="36" t="s">
        <v>97</v>
      </c>
      <c r="E3" s="36" t="s">
        <v>99</v>
      </c>
    </row>
    <row r="4" spans="1:7" ht="25.5" x14ac:dyDescent="0.2">
      <c r="A4" s="249"/>
      <c r="B4" s="36" t="s">
        <v>94</v>
      </c>
      <c r="C4" s="36" t="s">
        <v>96</v>
      </c>
      <c r="D4" s="36" t="s">
        <v>98</v>
      </c>
      <c r="E4" s="36" t="s">
        <v>100</v>
      </c>
    </row>
    <row r="5" spans="1:7" x14ac:dyDescent="0.2">
      <c r="A5" s="37" t="s">
        <v>212</v>
      </c>
      <c r="B5" s="38">
        <f>301737+84474-3119</f>
        <v>383092</v>
      </c>
      <c r="C5" s="38">
        <v>288532</v>
      </c>
      <c r="D5" s="38">
        <v>441562</v>
      </c>
      <c r="E5" s="39">
        <f>B5-C5+D5</f>
        <v>536122</v>
      </c>
    </row>
    <row r="6" spans="1:7" x14ac:dyDescent="0.2">
      <c r="A6" s="37" t="s">
        <v>213</v>
      </c>
      <c r="B6" s="38">
        <f>185859+181401.52-15944</f>
        <v>351316.52</v>
      </c>
      <c r="C6" s="38">
        <v>180000</v>
      </c>
      <c r="D6" s="38">
        <v>0</v>
      </c>
      <c r="E6" s="39">
        <f t="shared" ref="E6:E12" si="0">B6-C6+D6</f>
        <v>171316.52000000002</v>
      </c>
    </row>
    <row r="7" spans="1:7" x14ac:dyDescent="0.2">
      <c r="A7" s="37" t="s">
        <v>214</v>
      </c>
      <c r="B7" s="38">
        <v>33044</v>
      </c>
      <c r="C7" s="38">
        <v>0</v>
      </c>
      <c r="D7" s="38">
        <v>0</v>
      </c>
      <c r="E7" s="39">
        <f t="shared" si="0"/>
        <v>33044</v>
      </c>
    </row>
    <row r="8" spans="1:7" x14ac:dyDescent="0.2">
      <c r="A8" s="37" t="s">
        <v>252</v>
      </c>
      <c r="B8" s="38">
        <v>4533</v>
      </c>
      <c r="C8" s="38">
        <v>0</v>
      </c>
      <c r="D8" s="38">
        <v>0</v>
      </c>
      <c r="E8" s="39">
        <f t="shared" si="0"/>
        <v>4533</v>
      </c>
    </row>
    <row r="9" spans="1:7" x14ac:dyDescent="0.2">
      <c r="A9" s="37" t="s">
        <v>253</v>
      </c>
      <c r="B9" s="38">
        <f>6897+285.81</f>
        <v>7182.81</v>
      </c>
      <c r="C9" s="38">
        <v>0</v>
      </c>
      <c r="D9" s="38">
        <v>0</v>
      </c>
      <c r="E9" s="39">
        <f t="shared" si="0"/>
        <v>7182.81</v>
      </c>
    </row>
    <row r="10" spans="1:7" x14ac:dyDescent="0.2">
      <c r="A10" s="37" t="s">
        <v>254</v>
      </c>
      <c r="B10" s="38">
        <v>30173</v>
      </c>
      <c r="C10" s="38">
        <v>0</v>
      </c>
      <c r="D10" s="38">
        <v>0</v>
      </c>
      <c r="E10" s="39">
        <f t="shared" si="0"/>
        <v>30173</v>
      </c>
    </row>
    <row r="11" spans="1:7" ht="25.5" x14ac:dyDescent="0.2">
      <c r="A11" s="36" t="s">
        <v>125</v>
      </c>
      <c r="B11" s="38">
        <v>6768</v>
      </c>
      <c r="C11" s="38">
        <v>0</v>
      </c>
      <c r="D11" s="38"/>
      <c r="E11" s="39">
        <f t="shared" si="0"/>
        <v>6768</v>
      </c>
    </row>
    <row r="12" spans="1:7" x14ac:dyDescent="0.2">
      <c r="A12" s="37" t="s">
        <v>102</v>
      </c>
      <c r="B12" s="38">
        <v>12041</v>
      </c>
      <c r="C12" s="38">
        <v>0</v>
      </c>
      <c r="D12" s="38">
        <v>0</v>
      </c>
      <c r="E12" s="39">
        <f t="shared" si="0"/>
        <v>12041</v>
      </c>
      <c r="G12" s="208"/>
    </row>
    <row r="13" spans="1:7" ht="15.75" x14ac:dyDescent="0.2">
      <c r="A13" s="40" t="s">
        <v>103</v>
      </c>
      <c r="B13" s="33">
        <f>SUM(B5:B12)</f>
        <v>828150.33000000007</v>
      </c>
      <c r="C13" s="33">
        <f>SUM(C5:C12)</f>
        <v>468532</v>
      </c>
      <c r="D13" s="33">
        <f>SUM(D5:D12)</f>
        <v>441562</v>
      </c>
      <c r="E13" s="33">
        <f>SUM(E5:E12)</f>
        <v>801180.33000000007</v>
      </c>
    </row>
    <row r="14" spans="1:7" x14ac:dyDescent="0.2">
      <c r="A14" s="249" t="s">
        <v>104</v>
      </c>
      <c r="B14" s="250" t="s">
        <v>131</v>
      </c>
      <c r="C14" s="250"/>
      <c r="D14" s="250"/>
      <c r="E14" s="250"/>
    </row>
    <row r="15" spans="1:7" x14ac:dyDescent="0.2">
      <c r="A15" s="249"/>
      <c r="B15" s="41"/>
      <c r="C15" s="41"/>
      <c r="D15" s="41"/>
      <c r="E15" s="41"/>
    </row>
    <row r="16" spans="1:7" ht="13.5" x14ac:dyDescent="0.25">
      <c r="A16" s="16"/>
      <c r="F16" t="s">
        <v>107</v>
      </c>
    </row>
    <row r="17" spans="1:9" ht="15.75" x14ac:dyDescent="0.25">
      <c r="A17" s="17" t="s">
        <v>105</v>
      </c>
      <c r="B17" s="242" t="s">
        <v>264</v>
      </c>
      <c r="D17" s="142" t="s">
        <v>245</v>
      </c>
      <c r="E17" s="142" t="s">
        <v>246</v>
      </c>
      <c r="F17" s="198" t="s">
        <v>247</v>
      </c>
    </row>
    <row r="18" spans="1:9" ht="15.75" x14ac:dyDescent="0.25">
      <c r="A18" s="21" t="s">
        <v>108</v>
      </c>
      <c r="B18" s="22"/>
      <c r="C18" s="22"/>
      <c r="D18">
        <f>'Cost of Production'!C30</f>
        <v>897.30001200000004</v>
      </c>
    </row>
    <row r="19" spans="1:9" ht="13.5" x14ac:dyDescent="0.25">
      <c r="A19" s="26" t="s">
        <v>110</v>
      </c>
      <c r="B19" s="23"/>
      <c r="C19" s="42">
        <v>71032</v>
      </c>
      <c r="D19" s="140">
        <f>C19/D$18</f>
        <v>79.161929176481493</v>
      </c>
      <c r="E19" s="141">
        <f>'Cost of Production'!K9/D$18</f>
        <v>95.866233354764503</v>
      </c>
      <c r="F19" s="140">
        <f>E19-D19</f>
        <v>16.70430417828301</v>
      </c>
    </row>
    <row r="20" spans="1:9" x14ac:dyDescent="0.2">
      <c r="A20" s="26" t="s">
        <v>111</v>
      </c>
      <c r="B20" s="22"/>
      <c r="C20" s="42">
        <f>24851.98+1883+94693+32665+13750</f>
        <v>167842.97999999998</v>
      </c>
      <c r="D20" s="140">
        <f t="shared" ref="D20:D42" si="1">C20/D$18</f>
        <v>187.05335757869128</v>
      </c>
      <c r="E20" s="141">
        <f>'Cost of Production'!K10/D$18</f>
        <v>130.73838732942207</v>
      </c>
      <c r="F20" s="140">
        <f t="shared" ref="F20:F31" si="2">E20-D20</f>
        <v>-56.314970249269209</v>
      </c>
    </row>
    <row r="21" spans="1:9" x14ac:dyDescent="0.2">
      <c r="A21" s="26" t="s">
        <v>112</v>
      </c>
      <c r="B21" s="22"/>
      <c r="C21" s="42">
        <f>29330</f>
        <v>29330</v>
      </c>
      <c r="D21" s="140">
        <f t="shared" si="1"/>
        <v>32.686949300965793</v>
      </c>
      <c r="E21" s="141">
        <f>'Cost of Production'!K11/D$18</f>
        <v>25.217987331309651</v>
      </c>
      <c r="F21" s="140">
        <f t="shared" si="2"/>
        <v>-7.4689619696561422</v>
      </c>
    </row>
    <row r="22" spans="1:9" x14ac:dyDescent="0.2">
      <c r="A22" s="26" t="s">
        <v>258</v>
      </c>
      <c r="B22" s="22"/>
      <c r="C22" s="42">
        <v>25624</v>
      </c>
      <c r="D22" s="140">
        <f t="shared" si="1"/>
        <v>28.556781073574754</v>
      </c>
      <c r="E22" s="141">
        <f>'Cost of Production'!K12/D$18</f>
        <v>22.052490743976495</v>
      </c>
      <c r="F22" s="140">
        <f t="shared" si="2"/>
        <v>-6.504290329598259</v>
      </c>
    </row>
    <row r="23" spans="1:9" x14ac:dyDescent="0.2">
      <c r="A23" s="26" t="s">
        <v>113</v>
      </c>
      <c r="B23" s="22"/>
      <c r="C23" s="42">
        <v>26064</v>
      </c>
      <c r="D23" s="140">
        <f t="shared" si="1"/>
        <v>29.047141035812221</v>
      </c>
      <c r="E23" s="141">
        <f>'Cost of Production'!K13/D$18</f>
        <v>30.067451954965538</v>
      </c>
      <c r="F23" s="140">
        <f t="shared" si="2"/>
        <v>1.0203109191533173</v>
      </c>
    </row>
    <row r="24" spans="1:9" x14ac:dyDescent="0.2">
      <c r="A24" s="26" t="s">
        <v>114</v>
      </c>
      <c r="B24" s="22"/>
      <c r="C24" s="42">
        <f>8499+42410-8000-2200</f>
        <v>40709</v>
      </c>
      <c r="D24" s="140">
        <f t="shared" si="1"/>
        <v>45.368326597102509</v>
      </c>
      <c r="E24" s="141">
        <f>'Cost of Production'!K14/D$18</f>
        <v>45.125697221990009</v>
      </c>
      <c r="F24" s="140">
        <f t="shared" si="2"/>
        <v>-0.24262937511250016</v>
      </c>
    </row>
    <row r="25" spans="1:9" x14ac:dyDescent="0.2">
      <c r="A25" s="26" t="s">
        <v>249</v>
      </c>
      <c r="B25" s="22"/>
      <c r="C25" s="42">
        <v>37754</v>
      </c>
      <c r="D25" s="140">
        <f t="shared" si="1"/>
        <v>42.075113668894055</v>
      </c>
      <c r="E25" s="141">
        <f>'Cost of Production'!K15/D$18</f>
        <v>41.881644374702184</v>
      </c>
      <c r="F25" s="140">
        <f t="shared" si="2"/>
        <v>-0.1934692941918712</v>
      </c>
      <c r="G25" t="s">
        <v>127</v>
      </c>
    </row>
    <row r="26" spans="1:9" x14ac:dyDescent="0.2">
      <c r="A26" s="26" t="s">
        <v>115</v>
      </c>
      <c r="B26" s="22"/>
      <c r="C26" s="42">
        <f>39208+6238.72+175</f>
        <v>45621.72</v>
      </c>
      <c r="D26" s="140">
        <f t="shared" si="1"/>
        <v>50.843329310019001</v>
      </c>
      <c r="E26" s="141">
        <f>'Cost of Production'!K16/D$18</f>
        <v>51.129811585247133</v>
      </c>
      <c r="F26" s="140">
        <f t="shared" si="2"/>
        <v>0.2864822752281313</v>
      </c>
      <c r="G26" s="198" t="s">
        <v>243</v>
      </c>
      <c r="H26" s="198" t="s">
        <v>244</v>
      </c>
    </row>
    <row r="27" spans="1:9" x14ac:dyDescent="0.2">
      <c r="A27" s="26" t="s">
        <v>116</v>
      </c>
      <c r="B27" s="22"/>
      <c r="C27" s="42">
        <v>2534</v>
      </c>
      <c r="D27" s="140">
        <f t="shared" si="1"/>
        <v>2.8240276007039662</v>
      </c>
      <c r="E27" s="141">
        <f>'Cost of Production'!K17/D$18</f>
        <v>2.8199999968572382</v>
      </c>
      <c r="F27" s="140">
        <f t="shared" si="2"/>
        <v>-4.0276038467279562E-3</v>
      </c>
      <c r="G27" s="28">
        <f>SUM(C19:C31)</f>
        <v>557698.69999999995</v>
      </c>
      <c r="H27" s="30">
        <f>'Cost of Production'!E65</f>
        <v>489188.99946602952</v>
      </c>
    </row>
    <row r="28" spans="1:9" x14ac:dyDescent="0.2">
      <c r="A28" s="26" t="s">
        <v>210</v>
      </c>
      <c r="B28" s="22"/>
      <c r="C28" s="42">
        <v>17957</v>
      </c>
      <c r="D28" s="140">
        <f t="shared" si="1"/>
        <v>20.012258731586865</v>
      </c>
      <c r="E28" s="141">
        <f>'Cost of Production'!K18/D$18</f>
        <v>25.801239281234587</v>
      </c>
      <c r="F28" s="140">
        <f t="shared" si="2"/>
        <v>5.7889805496477216</v>
      </c>
      <c r="G28" s="28">
        <f>H27-G27</f>
        <v>-68509.700533970434</v>
      </c>
      <c r="H28" s="197" t="s">
        <v>242</v>
      </c>
    </row>
    <row r="29" spans="1:9" x14ac:dyDescent="0.2">
      <c r="A29" s="26" t="s">
        <v>209</v>
      </c>
      <c r="B29" s="22"/>
      <c r="C29" s="42">
        <v>14920</v>
      </c>
      <c r="D29" s="140">
        <f t="shared" si="1"/>
        <v>16.627660537688701</v>
      </c>
      <c r="E29" s="141">
        <f>'Cost of Production'!K19/D$18</f>
        <v>16.810275658393728</v>
      </c>
      <c r="F29" s="140">
        <f t="shared" si="2"/>
        <v>0.18261512070502661</v>
      </c>
    </row>
    <row r="30" spans="1:9" x14ac:dyDescent="0.2">
      <c r="A30" s="26" t="s">
        <v>117</v>
      </c>
      <c r="B30" s="22"/>
      <c r="C30" s="42">
        <v>46274</v>
      </c>
      <c r="D30" s="140">
        <f t="shared" si="1"/>
        <v>51.570265664946852</v>
      </c>
      <c r="E30" s="141">
        <f>'Cost of Production'!K20/D$18</f>
        <v>21.499806471825462</v>
      </c>
      <c r="F30" s="140">
        <f t="shared" si="2"/>
        <v>-30.07045919312139</v>
      </c>
    </row>
    <row r="31" spans="1:9" x14ac:dyDescent="0.2">
      <c r="A31" s="26" t="s">
        <v>263</v>
      </c>
      <c r="B31" s="22"/>
      <c r="C31" s="42">
        <v>32036</v>
      </c>
      <c r="D31" s="199">
        <f t="shared" si="1"/>
        <v>35.702663068726224</v>
      </c>
      <c r="E31" s="200">
        <f>'Cost of Production'!K21/D$18</f>
        <v>36.167836752464019</v>
      </c>
      <c r="F31" s="199">
        <f t="shared" si="2"/>
        <v>0.46517368373779533</v>
      </c>
    </row>
    <row r="32" spans="1:9" x14ac:dyDescent="0.2">
      <c r="A32" s="26"/>
      <c r="B32" s="22"/>
      <c r="C32" s="42"/>
      <c r="D32" s="140">
        <f>SUM(D19:D31)</f>
        <v>621.52980334519373</v>
      </c>
      <c r="E32" s="140">
        <f>SUM(E19:E31)</f>
        <v>545.17886205715251</v>
      </c>
      <c r="F32" s="140">
        <f>E32-D32</f>
        <v>-76.350941288041213</v>
      </c>
      <c r="G32" s="197" t="str">
        <f>H28</f>
        <v>Potential Error??</v>
      </c>
      <c r="I32" s="140"/>
    </row>
    <row r="33" spans="1:7" ht="15.75" x14ac:dyDescent="0.25">
      <c r="A33" s="21" t="s">
        <v>109</v>
      </c>
      <c r="B33" s="22"/>
      <c r="C33" s="43"/>
    </row>
    <row r="34" spans="1:7" x14ac:dyDescent="0.2">
      <c r="A34" s="26" t="s">
        <v>118</v>
      </c>
      <c r="B34" s="22"/>
      <c r="C34" s="42">
        <f>61930-12000</f>
        <v>49930</v>
      </c>
      <c r="D34" s="140">
        <f t="shared" si="1"/>
        <v>55.644711169356363</v>
      </c>
      <c r="E34" s="141"/>
    </row>
    <row r="35" spans="1:7" x14ac:dyDescent="0.2">
      <c r="A35" s="26" t="s">
        <v>257</v>
      </c>
      <c r="B35" s="22"/>
      <c r="C35" s="42">
        <f>64036-C31-20000</f>
        <v>12000</v>
      </c>
      <c r="D35" s="140">
        <f t="shared" si="1"/>
        <v>13.373453515567322</v>
      </c>
      <c r="E35" s="141"/>
    </row>
    <row r="36" spans="1:7" x14ac:dyDescent="0.2">
      <c r="A36" s="26" t="s">
        <v>119</v>
      </c>
      <c r="B36" s="22"/>
      <c r="C36" s="42">
        <f>87488-10000</f>
        <v>77488</v>
      </c>
      <c r="D36" s="140">
        <f t="shared" si="1"/>
        <v>86.356847167856714</v>
      </c>
      <c r="E36" s="141"/>
    </row>
    <row r="37" spans="1:7" x14ac:dyDescent="0.2">
      <c r="A37" s="26" t="s">
        <v>120</v>
      </c>
      <c r="B37" s="22"/>
      <c r="C37" s="42">
        <f>6909+587</f>
        <v>7496</v>
      </c>
      <c r="D37" s="140">
        <f t="shared" si="1"/>
        <v>8.3539506293910542</v>
      </c>
      <c r="E37" s="141"/>
      <c r="F37" s="27"/>
    </row>
    <row r="38" spans="1:7" x14ac:dyDescent="0.2">
      <c r="A38" s="26" t="s">
        <v>121</v>
      </c>
      <c r="B38" s="22"/>
      <c r="C38" s="42">
        <v>4832</v>
      </c>
      <c r="D38" s="140">
        <f t="shared" si="1"/>
        <v>5.3850439489351078</v>
      </c>
      <c r="E38" s="141"/>
    </row>
    <row r="39" spans="1:7" x14ac:dyDescent="0.2">
      <c r="A39" s="26" t="s">
        <v>122</v>
      </c>
      <c r="B39" s="22"/>
      <c r="C39" s="42">
        <v>14458</v>
      </c>
      <c r="D39" s="140">
        <f t="shared" si="1"/>
        <v>16.11278257733936</v>
      </c>
      <c r="E39" s="141"/>
    </row>
    <row r="40" spans="1:7" x14ac:dyDescent="0.2">
      <c r="A40" s="26" t="s">
        <v>262</v>
      </c>
      <c r="B40" s="22"/>
      <c r="C40" s="42">
        <v>0</v>
      </c>
      <c r="D40" s="140">
        <f t="shared" si="1"/>
        <v>0</v>
      </c>
      <c r="E40" s="141"/>
      <c r="F40" t="s">
        <v>126</v>
      </c>
    </row>
    <row r="41" spans="1:7" x14ac:dyDescent="0.2">
      <c r="A41" s="26" t="s">
        <v>123</v>
      </c>
      <c r="B41" s="22"/>
      <c r="C41" s="42">
        <f>2397+1035+10</f>
        <v>3442</v>
      </c>
      <c r="D41" s="140">
        <f t="shared" si="1"/>
        <v>3.8359522500485599</v>
      </c>
      <c r="E41" s="141"/>
      <c r="F41" s="28">
        <f>SUM(C34:C42)</f>
        <v>224646</v>
      </c>
      <c r="G41" s="207">
        <f>F41/'Cost of Production'!C30</f>
        <v>250.35773653817805</v>
      </c>
    </row>
    <row r="42" spans="1:7" x14ac:dyDescent="0.2">
      <c r="A42" s="26" t="s">
        <v>271</v>
      </c>
      <c r="B42" s="22"/>
      <c r="C42" s="42">
        <v>55000</v>
      </c>
      <c r="D42" s="140">
        <f t="shared" si="1"/>
        <v>61.294995279683555</v>
      </c>
      <c r="E42" s="141"/>
    </row>
    <row r="43" spans="1:7" ht="31.5" x14ac:dyDescent="0.25">
      <c r="A43" s="24" t="s">
        <v>124</v>
      </c>
      <c r="B43" s="22" t="s">
        <v>132</v>
      </c>
      <c r="C43" s="29">
        <f>SUM(C19:C42)</f>
        <v>782344.7</v>
      </c>
      <c r="D43" s="140">
        <f>C43/D18</f>
        <v>871.88753988337169</v>
      </c>
    </row>
    <row r="44" spans="1:7" ht="15.75" x14ac:dyDescent="0.25">
      <c r="A44" s="25" t="s">
        <v>130</v>
      </c>
      <c r="B44" s="22"/>
      <c r="C44" s="35">
        <f>E13-C43</f>
        <v>18835.630000000121</v>
      </c>
    </row>
    <row r="45" spans="1:7" ht="13.5" x14ac:dyDescent="0.25">
      <c r="A45" s="18"/>
    </row>
    <row r="46" spans="1:7" ht="14.25" x14ac:dyDescent="0.2">
      <c r="A46" s="19"/>
      <c r="F46" s="28"/>
    </row>
    <row r="47" spans="1:7" ht="15" x14ac:dyDescent="0.25">
      <c r="A47" s="20"/>
    </row>
    <row r="52" spans="2:2" ht="13.5" x14ac:dyDescent="0.25">
      <c r="B52" s="18"/>
    </row>
  </sheetData>
  <sheetProtection sheet="1" objects="1" scenarios="1"/>
  <mergeCells count="3">
    <mergeCell ref="A3:A4"/>
    <mergeCell ref="A14:A15"/>
    <mergeCell ref="B14:E14"/>
  </mergeCells>
  <phoneticPr fontId="0" type="noConversion"/>
  <pageMargins left="0.75" right="0.75" top="1" bottom="1" header="0.5" footer="0.5"/>
  <pageSetup scale="85" orientation="portrait"/>
  <headerFooter alignWithMargins="0"/>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Q281"/>
  <sheetViews>
    <sheetView topLeftCell="A65" zoomScale="140" zoomScaleNormal="140" zoomScaleSheetLayoutView="140" zoomScalePageLayoutView="140" workbookViewId="0">
      <selection activeCell="A65" sqref="A65"/>
    </sheetView>
  </sheetViews>
  <sheetFormatPr defaultColWidth="10.85546875" defaultRowHeight="12.75" x14ac:dyDescent="0.2"/>
  <cols>
    <col min="1" max="1" width="37" style="129" customWidth="1"/>
    <col min="2" max="2" width="8.140625" style="129" customWidth="1"/>
    <col min="3" max="10" width="10.7109375" style="129" customWidth="1"/>
    <col min="11" max="11" width="12.85546875" style="129" customWidth="1"/>
    <col min="12" max="21" width="10.7109375" style="129" customWidth="1"/>
    <col min="22" max="16384" width="10.85546875" style="129"/>
  </cols>
  <sheetData>
    <row r="1" spans="1:17" x14ac:dyDescent="0.2">
      <c r="A1" s="1" t="s">
        <v>266</v>
      </c>
      <c r="B1" s="1"/>
      <c r="C1" s="178" t="s">
        <v>201</v>
      </c>
      <c r="D1" s="178" t="s">
        <v>202</v>
      </c>
      <c r="E1" s="178" t="s">
        <v>203</v>
      </c>
      <c r="F1" s="202" t="s">
        <v>205</v>
      </c>
      <c r="G1" s="2"/>
      <c r="H1" s="2"/>
      <c r="I1" s="2"/>
      <c r="J1" s="2"/>
      <c r="K1" s="2"/>
      <c r="L1" s="2"/>
    </row>
    <row r="2" spans="1:17" ht="15" x14ac:dyDescent="0.2">
      <c r="A2" s="123" t="s">
        <v>238</v>
      </c>
      <c r="B2" s="123"/>
      <c r="C2" s="45">
        <f>280/560</f>
        <v>0.5</v>
      </c>
      <c r="D2" s="45">
        <f>(468/1040)-(220*C2/2000)</f>
        <v>0.39500000000000002</v>
      </c>
      <c r="E2" s="45">
        <f>400/1220</f>
        <v>0.32786885245901637</v>
      </c>
      <c r="F2" s="45">
        <v>3.6</v>
      </c>
      <c r="G2" s="146"/>
      <c r="J2" s="2"/>
      <c r="K2" s="2"/>
      <c r="L2" s="2"/>
    </row>
    <row r="3" spans="1:17" ht="15" x14ac:dyDescent="0.2">
      <c r="A3" s="2"/>
      <c r="C3" s="34" t="s">
        <v>227</v>
      </c>
      <c r="D3" s="34" t="s">
        <v>226</v>
      </c>
      <c r="E3" s="34" t="s">
        <v>183</v>
      </c>
      <c r="F3" s="88" t="s">
        <v>180</v>
      </c>
      <c r="G3" s="138" t="s">
        <v>208</v>
      </c>
      <c r="H3" s="88" t="s">
        <v>225</v>
      </c>
      <c r="I3" s="138" t="s">
        <v>204</v>
      </c>
      <c r="J3" s="2"/>
      <c r="K3" s="2"/>
      <c r="L3" s="2"/>
    </row>
    <row r="4" spans="1:17" ht="25.5" x14ac:dyDescent="0.2">
      <c r="A4" s="1" t="s">
        <v>1</v>
      </c>
      <c r="B4" s="1"/>
      <c r="C4" s="89">
        <v>170</v>
      </c>
      <c r="D4" s="89">
        <v>50</v>
      </c>
      <c r="E4" s="89">
        <v>85</v>
      </c>
      <c r="F4" s="89">
        <v>5</v>
      </c>
      <c r="G4" s="3">
        <v>220</v>
      </c>
      <c r="H4" s="89">
        <f>C4/7.5</f>
        <v>22.666666666666668</v>
      </c>
      <c r="I4" s="3">
        <v>1</v>
      </c>
      <c r="J4" s="2"/>
      <c r="K4" s="2"/>
      <c r="L4" s="1"/>
      <c r="M4" s="179" t="s">
        <v>219</v>
      </c>
      <c r="N4" s="179" t="s">
        <v>220</v>
      </c>
      <c r="O4" s="179" t="s">
        <v>221</v>
      </c>
      <c r="P4" s="179" t="s">
        <v>222</v>
      </c>
      <c r="Q4" s="179" t="s">
        <v>223</v>
      </c>
    </row>
    <row r="5" spans="1:17" x14ac:dyDescent="0.2">
      <c r="A5" s="1" t="s">
        <v>206</v>
      </c>
      <c r="B5" s="1"/>
      <c r="C5" s="49">
        <v>4.3</v>
      </c>
      <c r="D5" s="49">
        <f>10.5+0.2</f>
        <v>10.7</v>
      </c>
      <c r="E5" s="50">
        <v>5.3</v>
      </c>
      <c r="F5" s="49">
        <v>120</v>
      </c>
      <c r="G5" s="49">
        <f>C5</f>
        <v>4.3</v>
      </c>
      <c r="H5" s="49">
        <f>6.5*C5+0.19*F5</f>
        <v>50.75</v>
      </c>
      <c r="I5" s="49">
        <v>0</v>
      </c>
      <c r="J5" s="130"/>
      <c r="K5" s="2"/>
      <c r="L5" s="128" t="s">
        <v>216</v>
      </c>
      <c r="M5" s="181">
        <v>1.1000000000000001</v>
      </c>
      <c r="N5" s="181">
        <v>3.8</v>
      </c>
      <c r="O5" s="181">
        <v>1.2</v>
      </c>
      <c r="P5" s="181">
        <v>45</v>
      </c>
      <c r="Q5" s="181">
        <v>9.4</v>
      </c>
    </row>
    <row r="6" spans="1:17" x14ac:dyDescent="0.2">
      <c r="A6" s="1" t="s">
        <v>2</v>
      </c>
      <c r="B6" s="1"/>
      <c r="C6" s="4">
        <f t="shared" ref="C6:I6" si="0">C4*C5</f>
        <v>731</v>
      </c>
      <c r="D6" s="4">
        <f t="shared" si="0"/>
        <v>535</v>
      </c>
      <c r="E6" s="4">
        <f t="shared" si="0"/>
        <v>450.5</v>
      </c>
      <c r="F6" s="4">
        <f t="shared" si="0"/>
        <v>600</v>
      </c>
      <c r="G6" s="4">
        <f t="shared" si="0"/>
        <v>946</v>
      </c>
      <c r="H6" s="4">
        <f t="shared" si="0"/>
        <v>1150.3333333333335</v>
      </c>
      <c r="I6" s="4">
        <f t="shared" si="0"/>
        <v>0</v>
      </c>
      <c r="J6" s="131"/>
      <c r="K6" s="2"/>
      <c r="L6" s="128" t="s">
        <v>217</v>
      </c>
      <c r="M6" s="181">
        <v>0.35</v>
      </c>
      <c r="N6" s="181">
        <v>0.88</v>
      </c>
      <c r="O6" s="181">
        <v>0.62</v>
      </c>
      <c r="P6" s="181">
        <v>10</v>
      </c>
      <c r="Q6" s="181">
        <v>3.6</v>
      </c>
    </row>
    <row r="7" spans="1:17" x14ac:dyDescent="0.2">
      <c r="A7" s="48"/>
      <c r="C7" s="132"/>
      <c r="D7" s="132"/>
      <c r="E7" s="132"/>
      <c r="F7" s="6"/>
      <c r="G7" s="133"/>
      <c r="H7" s="1"/>
      <c r="I7" s="1"/>
      <c r="J7" s="2"/>
      <c r="K7" s="2"/>
      <c r="L7" s="128" t="s">
        <v>218</v>
      </c>
      <c r="M7" s="181">
        <v>0.27</v>
      </c>
      <c r="N7" s="181">
        <v>1.4</v>
      </c>
      <c r="O7" s="181">
        <v>0.38</v>
      </c>
      <c r="P7" s="181">
        <v>45</v>
      </c>
      <c r="Q7" s="181">
        <v>7.8</v>
      </c>
    </row>
    <row r="8" spans="1:17" x14ac:dyDescent="0.2">
      <c r="A8" s="178" t="s">
        <v>3</v>
      </c>
      <c r="B8" s="243" t="s">
        <v>239</v>
      </c>
      <c r="C8" s="134"/>
      <c r="D8" s="134"/>
      <c r="E8" s="6"/>
      <c r="F8" s="6"/>
      <c r="G8" s="6"/>
      <c r="H8" s="1"/>
      <c r="I8" s="1"/>
      <c r="J8" s="2"/>
      <c r="K8" s="243" t="s">
        <v>215</v>
      </c>
      <c r="L8" s="128"/>
      <c r="M8" s="183"/>
      <c r="N8" s="183"/>
      <c r="O8" s="183"/>
      <c r="P8" s="183"/>
      <c r="Q8" s="183"/>
    </row>
    <row r="9" spans="1:17" x14ac:dyDescent="0.2">
      <c r="A9" s="1" t="s">
        <v>4</v>
      </c>
      <c r="B9" s="156">
        <v>275</v>
      </c>
      <c r="C9" s="45">
        <f>B9/80*31</f>
        <v>106.5625</v>
      </c>
      <c r="D9" s="45">
        <f>54/50/3*160</f>
        <v>57.600000000000009</v>
      </c>
      <c r="E9" s="45">
        <f>12*3</f>
        <v>36</v>
      </c>
      <c r="F9" s="51">
        <f>20/5*6</f>
        <v>24</v>
      </c>
      <c r="G9" s="51">
        <f>B9/80*36</f>
        <v>123.75</v>
      </c>
      <c r="H9" s="51">
        <f>C9</f>
        <v>106.5625</v>
      </c>
      <c r="I9" s="51">
        <v>0</v>
      </c>
      <c r="J9" s="2"/>
      <c r="K9" s="204">
        <f>C9*C$56+D9*D$56+E9*E$56+F9*F$56+G9*G$56+H9*H$56+I9*I$56</f>
        <v>86020.772339624993</v>
      </c>
      <c r="L9" s="180" t="s">
        <v>228</v>
      </c>
      <c r="M9" s="184">
        <f>C4</f>
        <v>170</v>
      </c>
      <c r="N9" s="184">
        <f>D4</f>
        <v>50</v>
      </c>
      <c r="O9" s="184">
        <f>E4</f>
        <v>85</v>
      </c>
      <c r="P9" s="184">
        <f>F4</f>
        <v>5</v>
      </c>
      <c r="Q9" s="184">
        <f>H4</f>
        <v>22.666666666666668</v>
      </c>
    </row>
    <row r="10" spans="1:17" x14ac:dyDescent="0.2">
      <c r="A10" s="1" t="s">
        <v>5</v>
      </c>
      <c r="B10" s="1"/>
      <c r="C10" s="45">
        <f>(C4*$C2*M5*1.1)+(C4*M6*$D2)+(C4*M7*$E2)+(8*0.36)</f>
        <v>144.28168032786886</v>
      </c>
      <c r="D10" s="45">
        <f>(D4*$C2*N5*0)+(D4*N6*$D2)+(D4*N7*$E2)+(8*0.36)</f>
        <v>43.210819672131151</v>
      </c>
      <c r="E10" s="45">
        <f>(E4*$C2*O5*1.1)+(E4*O6*$D2)+(E4*O7*$E2)+(8*0.36)</f>
        <v>90.386663934426224</v>
      </c>
      <c r="F10" s="45">
        <f>(F4*$C2*P5*0)+(F4*P6*$D2)+(F4*P7*$E2)+(8*0.36)</f>
        <v>96.400491803278683</v>
      </c>
      <c r="G10" s="51">
        <f>(G4*$C2*M5*1.1)+(G4*M6*$D2)+(G4*M7*$E2)+(8*0.36)</f>
        <v>185.87040983606559</v>
      </c>
      <c r="H10" s="51">
        <f>(H4*$C2*Q5*1.1)+(H4*Q6*$D2)+(H4*Q7*$E2)+(8*0.36)</f>
        <v>210.26587978142078</v>
      </c>
      <c r="I10" s="51">
        <v>0</v>
      </c>
      <c r="J10" s="2"/>
      <c r="K10" s="204">
        <f t="shared" ref="K10:K21" si="1">C10*C$56+D10*D$56+E10*E$56+F10*F$56+G10*G$56+H10*H$56+I10*I$56</f>
        <v>117311.55651955109</v>
      </c>
      <c r="L10" s="128" t="str">
        <f>L5</f>
        <v>N</v>
      </c>
      <c r="M10" s="182">
        <f t="shared" ref="M10:Q11" si="2">M$9*M5</f>
        <v>187.00000000000003</v>
      </c>
      <c r="N10" s="182">
        <f t="shared" si="2"/>
        <v>190</v>
      </c>
      <c r="O10" s="182">
        <f t="shared" si="2"/>
        <v>102</v>
      </c>
      <c r="P10" s="182">
        <f t="shared" si="2"/>
        <v>225</v>
      </c>
      <c r="Q10" s="182">
        <f t="shared" si="2"/>
        <v>213.06666666666669</v>
      </c>
    </row>
    <row r="11" spans="1:17" x14ac:dyDescent="0.2">
      <c r="A11" s="1" t="s">
        <v>178</v>
      </c>
      <c r="B11" s="1"/>
      <c r="C11" s="45">
        <v>33</v>
      </c>
      <c r="D11" s="45">
        <v>10</v>
      </c>
      <c r="E11" s="45">
        <v>10</v>
      </c>
      <c r="F11" s="51">
        <v>5</v>
      </c>
      <c r="G11" s="51">
        <f>C11</f>
        <v>33</v>
      </c>
      <c r="H11" s="51">
        <f t="shared" ref="H11:H12" si="3">C11</f>
        <v>33</v>
      </c>
      <c r="I11" s="51">
        <v>0</v>
      </c>
      <c r="J11" s="2"/>
      <c r="K11" s="204">
        <f t="shared" si="1"/>
        <v>22628.100334999999</v>
      </c>
      <c r="L11" s="128" t="str">
        <f>L6</f>
        <v>P2O5</v>
      </c>
      <c r="M11" s="182">
        <f t="shared" si="2"/>
        <v>59.499999999999993</v>
      </c>
      <c r="N11" s="182">
        <f t="shared" si="2"/>
        <v>44</v>
      </c>
      <c r="O11" s="182">
        <f t="shared" si="2"/>
        <v>52.7</v>
      </c>
      <c r="P11" s="182">
        <f t="shared" si="2"/>
        <v>50</v>
      </c>
      <c r="Q11" s="182">
        <f t="shared" si="2"/>
        <v>81.600000000000009</v>
      </c>
    </row>
    <row r="12" spans="1:17" x14ac:dyDescent="0.2">
      <c r="A12" s="1" t="s">
        <v>256</v>
      </c>
      <c r="B12" s="1"/>
      <c r="C12" s="45">
        <v>20</v>
      </c>
      <c r="D12" s="45">
        <v>12.5</v>
      </c>
      <c r="E12" s="45">
        <v>5</v>
      </c>
      <c r="F12" s="51">
        <v>9.1999999999999993</v>
      </c>
      <c r="G12" s="51">
        <v>32</v>
      </c>
      <c r="H12" s="51">
        <f t="shared" si="3"/>
        <v>20</v>
      </c>
      <c r="I12" s="51">
        <v>0</v>
      </c>
      <c r="J12" s="2"/>
      <c r="K12" s="204">
        <f t="shared" si="1"/>
        <v>19787.7002092</v>
      </c>
      <c r="L12" s="128" t="str">
        <f>L7</f>
        <v>K2O</v>
      </c>
      <c r="M12" s="182">
        <f>M$9*M7</f>
        <v>45.900000000000006</v>
      </c>
      <c r="N12" s="182">
        <f>N$9*N7</f>
        <v>70</v>
      </c>
      <c r="O12" s="182">
        <f>O$9*O7</f>
        <v>32.299999999999997</v>
      </c>
      <c r="P12" s="182">
        <f>P$9*P7</f>
        <v>225</v>
      </c>
      <c r="Q12" s="182">
        <f>Q$9*Q7</f>
        <v>176.8</v>
      </c>
    </row>
    <row r="13" spans="1:17" x14ac:dyDescent="0.2">
      <c r="A13" s="1" t="s">
        <v>179</v>
      </c>
      <c r="B13" s="201">
        <v>2.5000000000000001E-2</v>
      </c>
      <c r="C13" s="54">
        <f>9*B13*C4</f>
        <v>38.25</v>
      </c>
      <c r="D13" s="54"/>
      <c r="E13" s="54"/>
      <c r="F13" s="54"/>
      <c r="G13" s="54">
        <f>9*B13*G4</f>
        <v>49.5</v>
      </c>
      <c r="H13" s="54"/>
      <c r="I13" s="51">
        <v>0</v>
      </c>
      <c r="J13" s="136"/>
      <c r="K13" s="204">
        <f t="shared" si="1"/>
        <v>26979.525000000001</v>
      </c>
      <c r="L13" s="128" t="str">
        <f>L10</f>
        <v>N</v>
      </c>
      <c r="M13" s="185">
        <f>M10*$C2</f>
        <v>93.500000000000014</v>
      </c>
      <c r="N13" s="185">
        <f>N10*$C2</f>
        <v>95</v>
      </c>
      <c r="O13" s="185">
        <f>O10*$C2</f>
        <v>51</v>
      </c>
      <c r="P13" s="185">
        <f>P10*$C2</f>
        <v>112.5</v>
      </c>
      <c r="Q13" s="185">
        <f>Q10*$C2</f>
        <v>106.53333333333335</v>
      </c>
    </row>
    <row r="14" spans="1:17" x14ac:dyDescent="0.2">
      <c r="A14" s="1" t="s">
        <v>240</v>
      </c>
      <c r="B14" s="201"/>
      <c r="C14" s="45">
        <f>13*F2</f>
        <v>46.800000000000004</v>
      </c>
      <c r="D14" s="45">
        <f>10*F2</f>
        <v>36</v>
      </c>
      <c r="E14" s="45">
        <f>10*F2</f>
        <v>36</v>
      </c>
      <c r="F14" s="51">
        <f>14*F2</f>
        <v>50.4</v>
      </c>
      <c r="G14" s="51">
        <f>C14*1.1</f>
        <v>51.480000000000011</v>
      </c>
      <c r="H14" s="51">
        <f>C14*1.3</f>
        <v>60.840000000000011</v>
      </c>
      <c r="I14" s="51">
        <v>0</v>
      </c>
      <c r="J14" s="2"/>
      <c r="K14" s="204">
        <f t="shared" si="1"/>
        <v>40491.288658800004</v>
      </c>
      <c r="L14" s="128" t="str">
        <f>L11</f>
        <v>P2O5</v>
      </c>
      <c r="M14" s="185">
        <f>M11*$D2</f>
        <v>23.502499999999998</v>
      </c>
      <c r="N14" s="185">
        <f>N11*$D2</f>
        <v>17.380000000000003</v>
      </c>
      <c r="O14" s="185">
        <f>O11*$D2</f>
        <v>20.816500000000001</v>
      </c>
      <c r="P14" s="185">
        <f>P11*$D2</f>
        <v>19.75</v>
      </c>
      <c r="Q14" s="185">
        <f>Q11*$D2</f>
        <v>32.232000000000006</v>
      </c>
    </row>
    <row r="15" spans="1:17" ht="13.5" thickBot="1" x14ac:dyDescent="0.25">
      <c r="A15" s="1" t="s">
        <v>241</v>
      </c>
      <c r="B15" s="201">
        <v>9.9</v>
      </c>
      <c r="C15" s="45">
        <v>0</v>
      </c>
      <c r="D15" s="45">
        <v>0</v>
      </c>
      <c r="E15" s="45">
        <v>0</v>
      </c>
      <c r="F15" s="51">
        <v>0</v>
      </c>
      <c r="G15" s="51">
        <f>B15*10</f>
        <v>99</v>
      </c>
      <c r="H15" s="51">
        <v>0</v>
      </c>
      <c r="I15" s="51">
        <v>0</v>
      </c>
      <c r="J15" s="2"/>
      <c r="K15" s="204">
        <f t="shared" si="1"/>
        <v>37580.400000000001</v>
      </c>
      <c r="L15" s="128" t="str">
        <f>L12</f>
        <v>K2O</v>
      </c>
      <c r="M15" s="187">
        <f>M12*$E2</f>
        <v>15.049180327868854</v>
      </c>
      <c r="N15" s="187">
        <f>N12*$E2</f>
        <v>22.950819672131146</v>
      </c>
      <c r="O15" s="187">
        <f>O12*$E2</f>
        <v>10.590163934426227</v>
      </c>
      <c r="P15" s="187">
        <f>P12*$E2</f>
        <v>73.770491803278688</v>
      </c>
      <c r="Q15" s="187">
        <f>Q12*$E2</f>
        <v>57.967213114754095</v>
      </c>
    </row>
    <row r="16" spans="1:17" ht="13.5" thickTop="1" x14ac:dyDescent="0.2">
      <c r="A16" s="1" t="s">
        <v>6</v>
      </c>
      <c r="B16" s="1"/>
      <c r="C16" s="45">
        <v>49</v>
      </c>
      <c r="D16" s="45">
        <v>44</v>
      </c>
      <c r="E16" s="45">
        <v>39</v>
      </c>
      <c r="F16" s="51">
        <v>59</v>
      </c>
      <c r="G16" s="51">
        <f>C16*1.2</f>
        <v>58.8</v>
      </c>
      <c r="H16" s="51">
        <f>C16</f>
        <v>49</v>
      </c>
      <c r="I16" s="51">
        <v>0</v>
      </c>
      <c r="J16" s="2"/>
      <c r="K16" s="204">
        <f t="shared" si="1"/>
        <v>45878.780548999996</v>
      </c>
      <c r="L16" s="128" t="s">
        <v>229</v>
      </c>
      <c r="M16" s="186">
        <f>SUM(M13:M15)</f>
        <v>132.05168032786887</v>
      </c>
      <c r="N16" s="186">
        <f>SUM(N13:N15)</f>
        <v>135.33081967213116</v>
      </c>
      <c r="O16" s="186">
        <f>SUM(O13:O15)</f>
        <v>82.406663934426234</v>
      </c>
      <c r="P16" s="186">
        <f>SUM(P13:P15)</f>
        <v>206.02049180327867</v>
      </c>
      <c r="Q16" s="186">
        <f>SUM(Q13:Q15)</f>
        <v>196.73254644808745</v>
      </c>
    </row>
    <row r="17" spans="1:17" x14ac:dyDescent="0.2">
      <c r="A17" s="1" t="s">
        <v>7</v>
      </c>
      <c r="B17" s="1"/>
      <c r="C17" s="45">
        <v>2.82</v>
      </c>
      <c r="D17" s="45">
        <v>2.82</v>
      </c>
      <c r="E17" s="45">
        <v>2.82</v>
      </c>
      <c r="F17" s="51">
        <v>2.82</v>
      </c>
      <c r="G17" s="51">
        <v>2.82</v>
      </c>
      <c r="H17" s="51">
        <v>2.82</v>
      </c>
      <c r="I17" s="51">
        <v>0</v>
      </c>
      <c r="J17" s="2"/>
      <c r="K17" s="204">
        <f t="shared" si="1"/>
        <v>2530.3860310199998</v>
      </c>
      <c r="L17" s="1" t="s">
        <v>230</v>
      </c>
      <c r="M17" s="188">
        <f>M16-M13</f>
        <v>38.551680327868851</v>
      </c>
      <c r="N17" s="188">
        <f>N16-N13</f>
        <v>40.330819672131156</v>
      </c>
      <c r="O17" s="188">
        <f>O16-O13</f>
        <v>31.406663934426234</v>
      </c>
      <c r="P17" s="188">
        <f>P16-P13</f>
        <v>93.520491803278674</v>
      </c>
      <c r="Q17" s="188">
        <f>Q16-Q13</f>
        <v>90.199213114754102</v>
      </c>
    </row>
    <row r="18" spans="1:17" x14ac:dyDescent="0.2">
      <c r="A18" s="1" t="s">
        <v>211</v>
      </c>
      <c r="B18" s="53">
        <v>0.15</v>
      </c>
      <c r="C18" s="54">
        <f>B18*C4</f>
        <v>25.5</v>
      </c>
      <c r="D18" s="54">
        <f>D4*0.3</f>
        <v>15</v>
      </c>
      <c r="E18" s="54">
        <f>E4*0.3</f>
        <v>25.5</v>
      </c>
      <c r="F18" s="55">
        <f>F4*10</f>
        <v>50</v>
      </c>
      <c r="G18" s="54">
        <f>B18*G4</f>
        <v>33</v>
      </c>
      <c r="H18" s="54">
        <f>H4*10</f>
        <v>226.66666666666669</v>
      </c>
      <c r="I18" s="51">
        <v>0</v>
      </c>
      <c r="J18" s="2"/>
      <c r="K18" s="204">
        <f t="shared" si="1"/>
        <v>23151.452316666666</v>
      </c>
    </row>
    <row r="19" spans="1:17" x14ac:dyDescent="0.2">
      <c r="A19" s="1" t="s">
        <v>224</v>
      </c>
      <c r="B19" s="53">
        <v>0.11</v>
      </c>
      <c r="C19" s="54">
        <f>B19*C4</f>
        <v>18.7</v>
      </c>
      <c r="D19" s="54">
        <f>B19*D4</f>
        <v>5.5</v>
      </c>
      <c r="E19" s="54">
        <f>B19*E4</f>
        <v>9.35</v>
      </c>
      <c r="F19" s="54">
        <f>F4*10</f>
        <v>50</v>
      </c>
      <c r="G19" s="54">
        <f>B19*G4</f>
        <v>24.2</v>
      </c>
      <c r="H19" s="54">
        <f>F19</f>
        <v>50</v>
      </c>
      <c r="I19" s="51">
        <v>0</v>
      </c>
      <c r="J19" s="136"/>
      <c r="K19" s="204">
        <f t="shared" si="1"/>
        <v>15083.860549999999</v>
      </c>
      <c r="L19" s="2"/>
    </row>
    <row r="20" spans="1:17" x14ac:dyDescent="0.2">
      <c r="A20" s="1" t="s">
        <v>8</v>
      </c>
      <c r="B20" s="244">
        <v>0.05</v>
      </c>
      <c r="C20" s="45">
        <f>$B20*C6</f>
        <v>36.550000000000004</v>
      </c>
      <c r="D20" s="45">
        <f t="shared" ref="D20:I20" si="4">$B20*D6</f>
        <v>26.75</v>
      </c>
      <c r="E20" s="45">
        <f t="shared" si="4"/>
        <v>22.525000000000002</v>
      </c>
      <c r="F20" s="45">
        <f t="shared" si="4"/>
        <v>30</v>
      </c>
      <c r="G20" s="45">
        <f>$B20*G6*0.2</f>
        <v>9.4600000000000009</v>
      </c>
      <c r="H20" s="45">
        <f t="shared" si="4"/>
        <v>57.51666666666668</v>
      </c>
      <c r="I20" s="45">
        <f t="shared" si="4"/>
        <v>0</v>
      </c>
      <c r="J20" s="2"/>
      <c r="K20" s="204">
        <f t="shared" si="1"/>
        <v>19291.776605166666</v>
      </c>
      <c r="L20" s="2"/>
    </row>
    <row r="21" spans="1:17" ht="15" x14ac:dyDescent="0.35">
      <c r="A21" s="1" t="s">
        <v>260</v>
      </c>
      <c r="B21" s="1"/>
      <c r="C21" s="47">
        <v>14</v>
      </c>
      <c r="D21" s="47">
        <v>12</v>
      </c>
      <c r="E21" s="47">
        <v>12</v>
      </c>
      <c r="F21" s="47">
        <v>32</v>
      </c>
      <c r="G21" s="52">
        <v>68</v>
      </c>
      <c r="H21" s="52">
        <v>32</v>
      </c>
      <c r="I21" s="52">
        <v>0</v>
      </c>
      <c r="J21" s="2"/>
      <c r="K21" s="205">
        <f t="shared" si="1"/>
        <v>32453.400352000004</v>
      </c>
      <c r="L21" s="2"/>
    </row>
    <row r="22" spans="1:17" x14ac:dyDescent="0.2">
      <c r="A22" s="1" t="s">
        <v>185</v>
      </c>
      <c r="B22" s="1"/>
      <c r="C22" s="53">
        <f t="shared" ref="C22:I22" si="5">SUM(C9:C21)</f>
        <v>535.4641803278688</v>
      </c>
      <c r="D22" s="53">
        <f t="shared" si="5"/>
        <v>265.38081967213117</v>
      </c>
      <c r="E22" s="53">
        <f t="shared" si="5"/>
        <v>288.58166393442622</v>
      </c>
      <c r="F22" s="53">
        <f t="shared" si="5"/>
        <v>408.82049180327868</v>
      </c>
      <c r="G22" s="53">
        <f t="shared" si="5"/>
        <v>770.88040983606572</v>
      </c>
      <c r="H22" s="53">
        <f t="shared" si="5"/>
        <v>848.67171311475408</v>
      </c>
      <c r="I22" s="53">
        <f t="shared" si="5"/>
        <v>0</v>
      </c>
      <c r="J22" s="2"/>
      <c r="K22" s="204">
        <f>SUM(K9:K21)</f>
        <v>489188.99946602952</v>
      </c>
      <c r="L22" s="2"/>
    </row>
    <row r="23" spans="1:17" x14ac:dyDescent="0.2">
      <c r="A23" s="13"/>
      <c r="B23" s="13"/>
      <c r="C23" s="53"/>
      <c r="D23" s="53"/>
      <c r="E23" s="53"/>
      <c r="F23" s="53"/>
      <c r="G23" s="53"/>
      <c r="H23" s="53"/>
      <c r="I23" s="1"/>
      <c r="J23" s="2"/>
      <c r="K23" s="2"/>
      <c r="L23" s="2"/>
    </row>
    <row r="24" spans="1:17" ht="15" x14ac:dyDescent="0.25">
      <c r="A24" s="121" t="s">
        <v>9</v>
      </c>
      <c r="B24" s="121"/>
      <c r="C24" s="122">
        <f t="shared" ref="C24:I24" si="6">IF(C22&gt;0,(C6-C22),0)</f>
        <v>195.5358196721312</v>
      </c>
      <c r="D24" s="122">
        <f t="shared" si="6"/>
        <v>269.61918032786883</v>
      </c>
      <c r="E24" s="122">
        <f t="shared" si="6"/>
        <v>161.91833606557378</v>
      </c>
      <c r="F24" s="122">
        <f t="shared" si="6"/>
        <v>191.17950819672132</v>
      </c>
      <c r="G24" s="90">
        <f t="shared" si="6"/>
        <v>175.11959016393428</v>
      </c>
      <c r="H24" s="90">
        <f t="shared" si="6"/>
        <v>301.6616202185794</v>
      </c>
      <c r="I24" s="90">
        <f t="shared" si="6"/>
        <v>0</v>
      </c>
      <c r="J24" s="2"/>
      <c r="K24" s="2"/>
      <c r="L24" s="2"/>
    </row>
    <row r="25" spans="1:17" x14ac:dyDescent="0.2">
      <c r="A25" s="128" t="s">
        <v>251</v>
      </c>
      <c r="B25" s="128"/>
      <c r="C25" s="91"/>
      <c r="D25" s="91">
        <f>D24-C24</f>
        <v>74.083360655737636</v>
      </c>
      <c r="E25" s="91">
        <f>E24-C24</f>
        <v>-33.617483606557414</v>
      </c>
      <c r="F25" s="91">
        <f>F24-C24</f>
        <v>-4.356311475409882</v>
      </c>
      <c r="G25" s="91">
        <f>G24-C24</f>
        <v>-20.416229508196921</v>
      </c>
      <c r="H25" s="91">
        <f>H24-C24</f>
        <v>106.1258005464482</v>
      </c>
      <c r="I25" s="91"/>
      <c r="J25" s="2"/>
      <c r="K25" s="2"/>
      <c r="L25" s="2"/>
    </row>
    <row r="26" spans="1:17" x14ac:dyDescent="0.2">
      <c r="A26" s="1" t="s">
        <v>182</v>
      </c>
      <c r="B26" s="1"/>
      <c r="C26" s="135">
        <f t="shared" ref="C26:I26" si="7">(C18+C13+C19)/C4</f>
        <v>0.48500000000000004</v>
      </c>
      <c r="D26" s="135">
        <f t="shared" si="7"/>
        <v>0.41</v>
      </c>
      <c r="E26" s="135">
        <f t="shared" si="7"/>
        <v>0.41000000000000003</v>
      </c>
      <c r="F26" s="135">
        <f t="shared" si="7"/>
        <v>20</v>
      </c>
      <c r="G26" s="135">
        <f t="shared" si="7"/>
        <v>0.48499999999999999</v>
      </c>
      <c r="H26" s="135">
        <f t="shared" si="7"/>
        <v>12.205882352941178</v>
      </c>
      <c r="I26" s="135">
        <f t="shared" si="7"/>
        <v>0</v>
      </c>
      <c r="J26" s="2"/>
      <c r="K26" s="2"/>
      <c r="L26" s="2"/>
    </row>
    <row r="27" spans="1:17" x14ac:dyDescent="0.2">
      <c r="A27" s="1" t="s">
        <v>181</v>
      </c>
      <c r="B27" s="1"/>
      <c r="C27" s="130">
        <f>C22-C18-C13-C19</f>
        <v>453.01418032786881</v>
      </c>
      <c r="D27" s="130">
        <f t="shared" ref="D27:I27" si="8">D22-D18-D13-D19</f>
        <v>244.88081967213117</v>
      </c>
      <c r="E27" s="130">
        <f t="shared" si="8"/>
        <v>253.73166393442622</v>
      </c>
      <c r="F27" s="130">
        <f t="shared" si="8"/>
        <v>308.82049180327868</v>
      </c>
      <c r="G27" s="130">
        <f t="shared" si="8"/>
        <v>664.18040983606568</v>
      </c>
      <c r="H27" s="130">
        <f t="shared" si="8"/>
        <v>572.00504644808734</v>
      </c>
      <c r="I27" s="130">
        <f t="shared" si="8"/>
        <v>0</v>
      </c>
      <c r="J27" s="2"/>
      <c r="K27" s="2"/>
      <c r="L27" s="2"/>
    </row>
    <row r="28" spans="1:17" x14ac:dyDescent="0.2">
      <c r="A28" s="1" t="s">
        <v>269</v>
      </c>
      <c r="B28" s="1"/>
      <c r="C28" s="126"/>
      <c r="D28" s="126"/>
      <c r="E28" s="6"/>
      <c r="F28" s="6"/>
      <c r="G28" s="6"/>
      <c r="H28" s="6"/>
      <c r="I28" s="46"/>
      <c r="J28" s="2"/>
      <c r="K28" s="2"/>
      <c r="L28" s="2"/>
    </row>
    <row r="29" spans="1:17" x14ac:dyDescent="0.2">
      <c r="A29" s="1" t="s">
        <v>267</v>
      </c>
      <c r="B29" s="1"/>
      <c r="C29" s="6" t="s">
        <v>10</v>
      </c>
      <c r="D29" s="7" t="s">
        <v>11</v>
      </c>
      <c r="E29" s="6"/>
      <c r="F29" s="6"/>
      <c r="G29" s="6"/>
      <c r="H29" s="1"/>
      <c r="I29" s="1"/>
      <c r="J29" s="2"/>
      <c r="K29" s="2"/>
      <c r="L29" s="2"/>
    </row>
    <row r="30" spans="1:17" x14ac:dyDescent="0.2">
      <c r="A30" s="1" t="s">
        <v>12</v>
      </c>
      <c r="B30" s="1"/>
      <c r="C30" s="206">
        <f>C56+D56+E56+F56+G56+H56+I56</f>
        <v>897.30001200000004</v>
      </c>
      <c r="D30" s="9" t="s">
        <v>270</v>
      </c>
      <c r="E30" s="9"/>
      <c r="F30" s="9"/>
      <c r="G30" s="9"/>
      <c r="H30" s="2"/>
      <c r="I30" s="2"/>
      <c r="J30" s="2"/>
      <c r="K30" s="2"/>
      <c r="L30" s="2"/>
    </row>
    <row r="31" spans="1:17" x14ac:dyDescent="0.2">
      <c r="A31" s="1" t="s">
        <v>13</v>
      </c>
      <c r="B31" s="1"/>
      <c r="C31" s="157">
        <f>'Income Statement'!C34</f>
        <v>49930</v>
      </c>
      <c r="D31" s="9" t="s">
        <v>14</v>
      </c>
      <c r="E31" s="9"/>
      <c r="F31" s="9"/>
      <c r="G31" s="9"/>
      <c r="H31" s="2"/>
      <c r="I31" s="2"/>
      <c r="J31" s="2"/>
      <c r="K31" s="2"/>
      <c r="L31" s="2"/>
    </row>
    <row r="32" spans="1:17" x14ac:dyDescent="0.2">
      <c r="A32" s="1" t="s">
        <v>259</v>
      </c>
      <c r="B32" s="1"/>
      <c r="C32" s="157">
        <f>'Income Statement'!C35</f>
        <v>12000</v>
      </c>
      <c r="D32" s="9" t="s">
        <v>15</v>
      </c>
      <c r="E32" s="9"/>
      <c r="F32" s="9"/>
      <c r="G32" s="9"/>
      <c r="H32" s="2"/>
      <c r="I32" s="2"/>
      <c r="J32" s="2"/>
      <c r="K32" s="2"/>
      <c r="L32" s="2"/>
    </row>
    <row r="33" spans="1:12" x14ac:dyDescent="0.2">
      <c r="A33" s="1" t="s">
        <v>16</v>
      </c>
      <c r="B33" s="1"/>
      <c r="C33" s="157">
        <f>'Income Statement'!C36</f>
        <v>77488</v>
      </c>
      <c r="D33" s="9" t="s">
        <v>17</v>
      </c>
      <c r="E33" s="9"/>
      <c r="F33" s="9"/>
      <c r="G33" s="9"/>
      <c r="H33" s="2"/>
      <c r="I33" s="2"/>
      <c r="J33" s="2"/>
      <c r="K33" s="2"/>
      <c r="L33" s="2"/>
    </row>
    <row r="34" spans="1:12" x14ac:dyDescent="0.2">
      <c r="A34" s="1" t="s">
        <v>18</v>
      </c>
      <c r="B34" s="1"/>
      <c r="C34" s="157">
        <f>'Income Statement'!C37</f>
        <v>7496</v>
      </c>
      <c r="D34" s="9" t="s">
        <v>19</v>
      </c>
      <c r="E34" s="9"/>
      <c r="F34" s="9"/>
      <c r="G34" s="9"/>
      <c r="H34" s="2"/>
      <c r="I34" s="2"/>
      <c r="J34" s="2"/>
      <c r="K34" s="2"/>
      <c r="L34" s="2"/>
    </row>
    <row r="35" spans="1:12" x14ac:dyDescent="0.2">
      <c r="A35" s="1" t="s">
        <v>20</v>
      </c>
      <c r="B35" s="1"/>
      <c r="C35" s="157">
        <f>'Income Statement'!C38</f>
        <v>4832</v>
      </c>
      <c r="D35" s="9" t="s">
        <v>21</v>
      </c>
      <c r="E35" s="9"/>
      <c r="F35" s="9"/>
      <c r="G35" s="9"/>
      <c r="H35" s="2"/>
      <c r="I35" s="2"/>
      <c r="J35" s="2"/>
      <c r="K35" s="2"/>
      <c r="L35" s="2"/>
    </row>
    <row r="36" spans="1:12" x14ac:dyDescent="0.2">
      <c r="A36" s="1" t="s">
        <v>22</v>
      </c>
      <c r="B36" s="1"/>
      <c r="C36" s="157">
        <f>'Income Statement'!C39</f>
        <v>14458</v>
      </c>
      <c r="D36" s="9" t="s">
        <v>23</v>
      </c>
      <c r="E36" s="9"/>
      <c r="F36" s="9"/>
      <c r="G36" s="9"/>
      <c r="H36" s="2"/>
      <c r="I36" s="2"/>
      <c r="J36" s="2"/>
      <c r="K36" s="2"/>
      <c r="L36" s="2"/>
    </row>
    <row r="37" spans="1:12" x14ac:dyDescent="0.2">
      <c r="A37" s="1" t="s">
        <v>261</v>
      </c>
      <c r="B37" s="1"/>
      <c r="C37" s="157">
        <f>'Income Statement'!C40</f>
        <v>0</v>
      </c>
      <c r="D37" s="9" t="s">
        <v>24</v>
      </c>
      <c r="E37" s="9"/>
      <c r="F37" s="9"/>
      <c r="G37" s="9"/>
      <c r="H37" s="2"/>
      <c r="I37" s="2"/>
      <c r="J37" s="2"/>
      <c r="K37" s="2"/>
      <c r="L37" s="2"/>
    </row>
    <row r="38" spans="1:12" x14ac:dyDescent="0.2">
      <c r="A38" s="1" t="s">
        <v>25</v>
      </c>
      <c r="B38" s="1"/>
      <c r="C38" s="157">
        <f>'Income Statement'!C41</f>
        <v>3442</v>
      </c>
      <c r="D38" s="9" t="s">
        <v>26</v>
      </c>
      <c r="E38" s="9"/>
      <c r="F38" s="9"/>
      <c r="G38" s="9"/>
      <c r="H38" s="2"/>
      <c r="I38" s="2"/>
      <c r="J38" s="2"/>
      <c r="K38" s="2"/>
      <c r="L38" s="2"/>
    </row>
    <row r="39" spans="1:12" x14ac:dyDescent="0.2">
      <c r="A39" s="1" t="s">
        <v>27</v>
      </c>
      <c r="B39" s="1"/>
      <c r="C39" s="157">
        <f>'Income Statement'!C42</f>
        <v>55000</v>
      </c>
      <c r="D39" s="7" t="s">
        <v>28</v>
      </c>
      <c r="E39" s="7"/>
      <c r="F39" s="7"/>
      <c r="G39" s="7"/>
      <c r="H39" s="1"/>
      <c r="I39" s="1"/>
      <c r="J39" s="2"/>
      <c r="K39" s="2"/>
      <c r="L39" s="2"/>
    </row>
    <row r="40" spans="1:12" x14ac:dyDescent="0.2">
      <c r="A40" s="1" t="s">
        <v>29</v>
      </c>
      <c r="B40" s="1"/>
      <c r="C40" s="157">
        <f>SUM(C31:C39)</f>
        <v>224646</v>
      </c>
      <c r="D40" s="6" t="s">
        <v>30</v>
      </c>
      <c r="E40" s="6"/>
      <c r="F40" s="7"/>
      <c r="G40" s="7"/>
      <c r="H40" s="1"/>
      <c r="I40" s="1"/>
      <c r="J40" s="2"/>
      <c r="K40" s="2"/>
      <c r="L40" s="2"/>
    </row>
    <row r="41" spans="1:12" x14ac:dyDescent="0.2">
      <c r="A41" s="1"/>
      <c r="B41" s="1"/>
      <c r="C41" s="8"/>
      <c r="D41" s="6"/>
      <c r="E41" s="6"/>
      <c r="F41" s="6"/>
      <c r="G41" s="6"/>
      <c r="H41" s="1"/>
      <c r="I41" s="1"/>
      <c r="J41" s="2"/>
      <c r="K41" s="2"/>
      <c r="L41" s="2"/>
    </row>
    <row r="42" spans="1:12" x14ac:dyDescent="0.2">
      <c r="A42" s="1" t="s">
        <v>31</v>
      </c>
      <c r="B42" s="1"/>
      <c r="C42" s="158">
        <v>15000</v>
      </c>
      <c r="D42" s="7" t="s">
        <v>32</v>
      </c>
      <c r="E42" s="6"/>
      <c r="F42" s="6"/>
      <c r="G42" s="6"/>
      <c r="H42" s="1"/>
      <c r="I42" s="1"/>
      <c r="J42" s="2"/>
      <c r="K42" s="2"/>
      <c r="L42" s="2"/>
    </row>
    <row r="43" spans="1:12" x14ac:dyDescent="0.2">
      <c r="A43" s="1" t="s">
        <v>33</v>
      </c>
      <c r="B43" s="1"/>
      <c r="C43" s="159">
        <f>1000000*0.06</f>
        <v>60000</v>
      </c>
      <c r="D43" s="7" t="s">
        <v>34</v>
      </c>
      <c r="E43" s="6"/>
      <c r="F43" s="6"/>
      <c r="G43" s="6"/>
      <c r="H43" s="1"/>
      <c r="I43" s="1"/>
      <c r="J43" s="2"/>
      <c r="K43" s="2"/>
      <c r="L43" s="2"/>
    </row>
    <row r="44" spans="1:12" x14ac:dyDescent="0.2">
      <c r="A44" s="1" t="s">
        <v>35</v>
      </c>
      <c r="B44" s="1"/>
      <c r="C44" s="157">
        <f>SUM(C40:C43)</f>
        <v>299646</v>
      </c>
      <c r="D44" s="6" t="s">
        <v>36</v>
      </c>
      <c r="E44" s="6"/>
      <c r="F44" s="6"/>
      <c r="G44" s="6"/>
      <c r="H44" s="1"/>
      <c r="I44" s="1"/>
      <c r="J44" s="2"/>
      <c r="K44" s="2"/>
      <c r="L44" s="2"/>
    </row>
    <row r="45" spans="1:12" x14ac:dyDescent="0.2">
      <c r="A45" s="1"/>
      <c r="B45" s="1"/>
      <c r="C45" s="10"/>
      <c r="D45" s="6"/>
      <c r="E45" s="6"/>
      <c r="F45" s="6"/>
      <c r="G45" s="6"/>
      <c r="H45" s="1"/>
      <c r="I45" s="1"/>
      <c r="J45" s="2"/>
      <c r="K45" s="2"/>
      <c r="L45" s="2"/>
    </row>
    <row r="46" spans="1:12" x14ac:dyDescent="0.2">
      <c r="A46" s="1" t="s">
        <v>37</v>
      </c>
      <c r="B46" s="1"/>
      <c r="C46" s="11">
        <f>C44/C30</f>
        <v>333.9418210104738</v>
      </c>
      <c r="D46" s="11" t="s">
        <v>38</v>
      </c>
      <c r="E46" s="6"/>
      <c r="F46" s="6"/>
      <c r="G46" s="6"/>
      <c r="H46" s="1"/>
      <c r="I46" s="1"/>
      <c r="J46" s="2"/>
      <c r="K46" s="2"/>
      <c r="L46" s="2"/>
    </row>
    <row r="47" spans="1:12" x14ac:dyDescent="0.2">
      <c r="A47" s="1"/>
      <c r="B47" s="1"/>
      <c r="C47" s="11"/>
      <c r="D47" s="11"/>
      <c r="E47" s="6"/>
      <c r="F47" s="6"/>
      <c r="G47" s="148"/>
      <c r="H47" s="127"/>
      <c r="I47" s="127"/>
      <c r="J47" s="2"/>
      <c r="K47" s="2"/>
      <c r="L47" s="2"/>
    </row>
    <row r="48" spans="1:12" x14ac:dyDescent="0.2">
      <c r="A48" s="1"/>
      <c r="B48" s="1"/>
      <c r="C48" s="151" t="str">
        <f t="shared" ref="C48:I48" si="9">C3</f>
        <v>CornGrain</v>
      </c>
      <c r="D48" s="151" t="str">
        <f t="shared" si="9"/>
        <v>SoyBean</v>
      </c>
      <c r="E48" s="151" t="str">
        <f t="shared" si="9"/>
        <v>SRWheat</v>
      </c>
      <c r="F48" s="152" t="str">
        <f t="shared" si="9"/>
        <v>Alfalfa 5yr Rot</v>
      </c>
      <c r="G48" s="151" t="str">
        <f t="shared" si="9"/>
        <v>Irr.Corn</v>
      </c>
      <c r="H48" s="151" t="str">
        <f t="shared" si="9"/>
        <v>C.Silage</v>
      </c>
      <c r="I48" s="151" t="str">
        <f t="shared" si="9"/>
        <v>other3</v>
      </c>
      <c r="J48" s="137"/>
      <c r="K48" s="2"/>
      <c r="L48" s="2"/>
    </row>
    <row r="49" spans="1:12" x14ac:dyDescent="0.2">
      <c r="A49" s="115" t="s">
        <v>39</v>
      </c>
      <c r="B49" s="115"/>
      <c r="C49" s="166">
        <f t="shared" ref="C49:I49" si="10">IF(C22&gt;0,(C22+$C46),0)</f>
        <v>869.40600133834255</v>
      </c>
      <c r="D49" s="166">
        <f t="shared" si="10"/>
        <v>599.32264068260497</v>
      </c>
      <c r="E49" s="166">
        <f t="shared" si="10"/>
        <v>622.52348494490002</v>
      </c>
      <c r="F49" s="166">
        <f t="shared" si="10"/>
        <v>742.76231281375249</v>
      </c>
      <c r="G49" s="166">
        <f>IF(G22&gt;0,(G22+$C46),0)</f>
        <v>1104.8222308465395</v>
      </c>
      <c r="H49" s="166">
        <f t="shared" si="10"/>
        <v>1182.6135341252279</v>
      </c>
      <c r="I49" s="166">
        <f t="shared" si="10"/>
        <v>0</v>
      </c>
      <c r="J49" s="2"/>
      <c r="K49" s="2"/>
      <c r="L49" s="2"/>
    </row>
    <row r="50" spans="1:12" x14ac:dyDescent="0.2">
      <c r="A50" s="150" t="s">
        <v>40</v>
      </c>
      <c r="B50" s="150"/>
      <c r="C50" s="153"/>
      <c r="D50" s="153"/>
      <c r="E50" s="153"/>
      <c r="F50" s="153"/>
      <c r="G50" s="153"/>
      <c r="H50" s="153"/>
      <c r="I50" s="153"/>
      <c r="J50" s="2"/>
      <c r="K50" s="2"/>
      <c r="L50" s="2"/>
    </row>
    <row r="51" spans="1:12" x14ac:dyDescent="0.2">
      <c r="A51" s="115" t="s">
        <v>184</v>
      </c>
      <c r="B51" s="115"/>
      <c r="C51" s="153">
        <f t="shared" ref="C51:I51" si="11">IF(C49&gt;0,(C49/C4),0)</f>
        <v>5.1141529490490738</v>
      </c>
      <c r="D51" s="153">
        <f t="shared" si="11"/>
        <v>11.9864528136521</v>
      </c>
      <c r="E51" s="153">
        <f t="shared" si="11"/>
        <v>7.3238057052341174</v>
      </c>
      <c r="F51" s="153">
        <f t="shared" si="11"/>
        <v>148.55246256275049</v>
      </c>
      <c r="G51" s="153">
        <f t="shared" si="11"/>
        <v>5.0219192311206342</v>
      </c>
      <c r="H51" s="153">
        <f t="shared" si="11"/>
        <v>52.174126505524761</v>
      </c>
      <c r="I51" s="153">
        <f t="shared" si="11"/>
        <v>0</v>
      </c>
      <c r="J51" s="2"/>
      <c r="K51" s="2"/>
      <c r="L51" s="2"/>
    </row>
    <row r="52" spans="1:12" x14ac:dyDescent="0.2">
      <c r="A52" s="115" t="s">
        <v>41</v>
      </c>
      <c r="B52" s="115"/>
      <c r="C52" s="116"/>
      <c r="D52" s="116"/>
      <c r="E52" s="117"/>
      <c r="F52" s="117"/>
      <c r="G52" s="117"/>
      <c r="H52" s="1"/>
      <c r="I52" s="1"/>
      <c r="J52" s="2"/>
      <c r="K52" s="2"/>
      <c r="L52" s="2"/>
    </row>
    <row r="53" spans="1:12" x14ac:dyDescent="0.2">
      <c r="A53" s="1" t="s">
        <v>42</v>
      </c>
      <c r="B53" s="1"/>
      <c r="C53" s="6"/>
      <c r="D53" s="6"/>
      <c r="E53" s="6"/>
      <c r="F53" s="6"/>
      <c r="G53" s="6"/>
      <c r="H53" s="1"/>
      <c r="I53" s="1"/>
      <c r="J53" s="2"/>
      <c r="K53" s="2"/>
      <c r="L53" s="2"/>
    </row>
    <row r="54" spans="1:12" x14ac:dyDescent="0.2">
      <c r="A54" s="1" t="str">
        <f>A2</f>
        <v xml:space="preserve"> 2014 Estimates</v>
      </c>
      <c r="B54" s="1"/>
      <c r="C54" s="6"/>
      <c r="D54" s="6"/>
      <c r="E54" s="6"/>
      <c r="F54" s="6"/>
      <c r="G54" s="6"/>
      <c r="H54" s="1"/>
      <c r="I54" s="1"/>
      <c r="J54" s="2"/>
      <c r="K54" s="2"/>
      <c r="L54" s="2"/>
    </row>
    <row r="55" spans="1:12" x14ac:dyDescent="0.2">
      <c r="A55" s="1"/>
      <c r="B55" s="1"/>
      <c r="C55" s="124" t="str">
        <f t="shared" ref="C55:I55" si="12">C48</f>
        <v>CornGrain</v>
      </c>
      <c r="D55" s="124" t="str">
        <f t="shared" si="12"/>
        <v>SoyBean</v>
      </c>
      <c r="E55" s="124" t="str">
        <f t="shared" si="12"/>
        <v>SRWheat</v>
      </c>
      <c r="F55" s="124" t="str">
        <f t="shared" si="12"/>
        <v>Alfalfa 5yr Rot</v>
      </c>
      <c r="G55" s="124" t="str">
        <f t="shared" si="12"/>
        <v>Irr.Corn</v>
      </c>
      <c r="H55" s="124" t="str">
        <f t="shared" si="12"/>
        <v>C.Silage</v>
      </c>
      <c r="I55" s="124" t="str">
        <f t="shared" si="12"/>
        <v>other3</v>
      </c>
      <c r="J55" s="2"/>
      <c r="K55" s="2"/>
      <c r="L55" s="2"/>
    </row>
    <row r="56" spans="1:12" x14ac:dyDescent="0.2">
      <c r="A56" s="1" t="s">
        <v>43</v>
      </c>
      <c r="B56" s="1"/>
      <c r="C56" s="245">
        <v>214.1</v>
      </c>
      <c r="D56" s="245">
        <v>245.4</v>
      </c>
      <c r="E56" s="245">
        <v>58.2</v>
      </c>
      <c r="F56" s="245">
        <v>9.9999999999999995E-7</v>
      </c>
      <c r="G56" s="245">
        <v>379.6</v>
      </c>
      <c r="H56" s="245">
        <v>1.0000000000000001E-5</v>
      </c>
      <c r="I56" s="245">
        <v>9.9999999999999995E-7</v>
      </c>
      <c r="J56" s="2"/>
      <c r="K56" s="2"/>
      <c r="L56" s="2"/>
    </row>
    <row r="57" spans="1:12" x14ac:dyDescent="0.2">
      <c r="A57" s="1"/>
      <c r="B57" s="1"/>
      <c r="C57" s="6"/>
      <c r="D57" s="6"/>
      <c r="E57" s="6"/>
      <c r="F57" s="6"/>
      <c r="G57" s="6"/>
      <c r="H57" s="1"/>
      <c r="I57" s="1"/>
      <c r="J57" s="2"/>
      <c r="K57" s="2"/>
      <c r="L57" s="2"/>
    </row>
    <row r="58" spans="1:12" x14ac:dyDescent="0.2">
      <c r="A58" s="1" t="s">
        <v>44</v>
      </c>
      <c r="B58" s="1"/>
      <c r="C58" s="46">
        <f t="shared" ref="C58:I58" si="13">C22</f>
        <v>535.4641803278688</v>
      </c>
      <c r="D58" s="46">
        <f t="shared" si="13"/>
        <v>265.38081967213117</v>
      </c>
      <c r="E58" s="46">
        <f t="shared" si="13"/>
        <v>288.58166393442622</v>
      </c>
      <c r="F58" s="46">
        <f t="shared" si="13"/>
        <v>408.82049180327868</v>
      </c>
      <c r="G58" s="46">
        <f t="shared" si="13"/>
        <v>770.88040983606572</v>
      </c>
      <c r="H58" s="46">
        <f t="shared" si="13"/>
        <v>848.67171311475408</v>
      </c>
      <c r="I58" s="6">
        <f t="shared" si="13"/>
        <v>0</v>
      </c>
      <c r="J58" s="2"/>
      <c r="K58" s="2"/>
      <c r="L58" s="2"/>
    </row>
    <row r="59" spans="1:12" x14ac:dyDescent="0.2">
      <c r="A59" s="1"/>
      <c r="B59" s="1"/>
      <c r="C59" s="6"/>
      <c r="D59" s="6"/>
      <c r="E59" s="6"/>
      <c r="F59" s="6"/>
      <c r="G59" s="6"/>
      <c r="H59" s="1"/>
      <c r="I59" s="1"/>
      <c r="J59" s="2"/>
      <c r="K59" s="2"/>
      <c r="L59" s="2"/>
    </row>
    <row r="60" spans="1:12" x14ac:dyDescent="0.2">
      <c r="A60" s="1" t="s">
        <v>186</v>
      </c>
      <c r="B60" s="1"/>
      <c r="C60" s="6">
        <f t="shared" ref="C60:I60" si="14">IF(C56&gt;0,(C22/C4),0)</f>
        <v>3.1497892960462872</v>
      </c>
      <c r="D60" s="6">
        <f t="shared" si="14"/>
        <v>5.3076163934426237</v>
      </c>
      <c r="E60" s="6">
        <f t="shared" si="14"/>
        <v>3.3950783992285438</v>
      </c>
      <c r="F60" s="6">
        <f t="shared" si="14"/>
        <v>81.764098360655737</v>
      </c>
      <c r="G60" s="6">
        <f t="shared" si="14"/>
        <v>3.504001862891208</v>
      </c>
      <c r="H60" s="6">
        <f t="shared" si="14"/>
        <v>37.441399108003857</v>
      </c>
      <c r="I60" s="6">
        <f t="shared" si="14"/>
        <v>0</v>
      </c>
      <c r="J60" s="2"/>
      <c r="K60" s="2"/>
      <c r="L60" s="2"/>
    </row>
    <row r="61" spans="1:12" x14ac:dyDescent="0.2">
      <c r="A61" s="1" t="s">
        <v>45</v>
      </c>
      <c r="B61" s="1"/>
      <c r="C61" s="6"/>
      <c r="D61" s="6"/>
      <c r="E61" s="6"/>
      <c r="F61" s="6"/>
      <c r="G61" s="6"/>
      <c r="H61" s="1"/>
      <c r="I61" s="1"/>
      <c r="J61" s="2"/>
      <c r="K61" s="2"/>
      <c r="L61" s="2"/>
    </row>
    <row r="62" spans="1:12" x14ac:dyDescent="0.2">
      <c r="A62" s="1" t="s">
        <v>46</v>
      </c>
      <c r="B62" s="1"/>
      <c r="C62" s="157">
        <f t="shared" ref="C62:I62" si="15">IF(C58&gt;0,(C56*C58),0)</f>
        <v>114642.88100819671</v>
      </c>
      <c r="D62" s="157">
        <f t="shared" si="15"/>
        <v>65124.453147540989</v>
      </c>
      <c r="E62" s="157">
        <f t="shared" si="15"/>
        <v>16795.452840983606</v>
      </c>
      <c r="F62" s="157">
        <f t="shared" si="15"/>
        <v>4.0882049180327866E-4</v>
      </c>
      <c r="G62" s="157">
        <f>IF(G58&gt;0,(G56*G58),0)</f>
        <v>292626.20357377059</v>
      </c>
      <c r="H62" s="157">
        <f t="shared" si="15"/>
        <v>8.486717131147542E-3</v>
      </c>
      <c r="I62" s="157">
        <f t="shared" si="15"/>
        <v>0</v>
      </c>
      <c r="J62" s="147"/>
      <c r="K62" s="2"/>
      <c r="L62" s="2"/>
    </row>
    <row r="63" spans="1:12" x14ac:dyDescent="0.2">
      <c r="A63" s="6" t="s">
        <v>47</v>
      </c>
      <c r="B63" s="6"/>
      <c r="C63" s="2"/>
      <c r="D63" s="6"/>
      <c r="E63" s="6"/>
      <c r="F63" s="6"/>
      <c r="G63" s="6"/>
      <c r="H63" s="1"/>
      <c r="I63" s="1"/>
      <c r="J63" s="2"/>
      <c r="K63" s="2"/>
      <c r="L63" s="2"/>
    </row>
    <row r="64" spans="1:12" x14ac:dyDescent="0.2">
      <c r="A64" s="1"/>
      <c r="B64" s="1"/>
      <c r="C64" s="6"/>
      <c r="D64" s="6"/>
      <c r="E64" s="209" t="s">
        <v>255</v>
      </c>
      <c r="F64" s="6"/>
      <c r="G64" s="6"/>
      <c r="H64" s="1"/>
      <c r="I64" s="1"/>
      <c r="J64" s="2"/>
      <c r="K64" s="2"/>
      <c r="L64" s="2"/>
    </row>
    <row r="65" spans="1:12" x14ac:dyDescent="0.2">
      <c r="A65" s="1" t="s">
        <v>48</v>
      </c>
      <c r="B65" s="1"/>
      <c r="C65" s="6"/>
      <c r="D65" s="2"/>
      <c r="E65" s="157">
        <f>SUM(C62:I62)</f>
        <v>489188.99946602952</v>
      </c>
      <c r="F65" s="6" t="s">
        <v>49</v>
      </c>
      <c r="G65" s="6"/>
      <c r="H65" s="6"/>
      <c r="I65" s="1"/>
      <c r="J65" s="2"/>
      <c r="K65" s="2"/>
      <c r="L65" s="2"/>
    </row>
    <row r="66" spans="1:12" x14ac:dyDescent="0.2">
      <c r="A66" s="1"/>
      <c r="B66" s="1"/>
      <c r="C66" s="6"/>
      <c r="D66" s="2"/>
      <c r="E66" s="157">
        <f>'Income Statement'!G27</f>
        <v>557698.69999999995</v>
      </c>
      <c r="F66" s="6" t="s">
        <v>128</v>
      </c>
      <c r="G66" s="6"/>
      <c r="H66" s="6"/>
      <c r="I66" s="1"/>
      <c r="J66" s="2"/>
      <c r="K66" s="2"/>
      <c r="L66" s="2"/>
    </row>
    <row r="67" spans="1:12" x14ac:dyDescent="0.2">
      <c r="A67" s="113" t="s">
        <v>50</v>
      </c>
      <c r="B67" s="113"/>
      <c r="C67" s="6"/>
      <c r="D67" s="2"/>
      <c r="E67" s="203">
        <f>E65-E66</f>
        <v>-68509.700533970434</v>
      </c>
      <c r="F67" s="6" t="s">
        <v>129</v>
      </c>
      <c r="G67" s="6"/>
      <c r="H67" s="6"/>
      <c r="I67" s="1"/>
      <c r="J67" s="2"/>
      <c r="K67" s="2"/>
      <c r="L67" s="2"/>
    </row>
    <row r="68" spans="1:12" x14ac:dyDescent="0.2">
      <c r="A68" s="114" t="s">
        <v>51</v>
      </c>
      <c r="B68" s="114"/>
      <c r="C68" s="6"/>
      <c r="D68" s="157">
        <f>C44</f>
        <v>299646</v>
      </c>
      <c r="E68" s="7" t="s">
        <v>52</v>
      </c>
      <c r="F68" s="7"/>
      <c r="G68" s="7"/>
      <c r="H68" s="12"/>
      <c r="I68" s="12"/>
      <c r="J68" s="2"/>
      <c r="K68" s="2"/>
      <c r="L68" s="2"/>
    </row>
    <row r="69" spans="1:12" ht="18" x14ac:dyDescent="0.25">
      <c r="A69" s="114" t="s">
        <v>53</v>
      </c>
      <c r="B69" s="114"/>
      <c r="C69" s="149" t="s">
        <v>54</v>
      </c>
      <c r="D69" s="157">
        <f>'Income Statement'!E11+'Income Statement'!E12</f>
        <v>18809</v>
      </c>
      <c r="E69" s="7" t="s">
        <v>55</v>
      </c>
      <c r="F69" s="7"/>
      <c r="G69" s="7"/>
      <c r="H69" s="12"/>
      <c r="I69" s="12"/>
      <c r="J69" s="2"/>
      <c r="K69" s="2"/>
      <c r="L69" s="2"/>
    </row>
    <row r="70" spans="1:12" ht="18" x14ac:dyDescent="0.25">
      <c r="A70" s="114" t="s">
        <v>56</v>
      </c>
      <c r="B70" s="114"/>
      <c r="C70" s="149" t="s">
        <v>54</v>
      </c>
      <c r="D70" s="160">
        <f>C43</f>
        <v>60000</v>
      </c>
      <c r="E70" s="7" t="s">
        <v>57</v>
      </c>
      <c r="F70" s="7"/>
      <c r="G70" s="7"/>
      <c r="H70" s="12"/>
      <c r="I70" s="12"/>
      <c r="J70" s="2"/>
      <c r="K70" s="2"/>
      <c r="L70" s="2"/>
    </row>
    <row r="71" spans="1:12" ht="18" x14ac:dyDescent="0.25">
      <c r="A71" s="114" t="s">
        <v>58</v>
      </c>
      <c r="B71" s="114"/>
      <c r="C71" s="149" t="s">
        <v>59</v>
      </c>
      <c r="D71" s="156">
        <v>2500</v>
      </c>
      <c r="E71" s="12" t="s">
        <v>60</v>
      </c>
      <c r="F71" s="12"/>
      <c r="G71" s="12"/>
      <c r="H71" s="12"/>
      <c r="I71" s="12"/>
      <c r="J71" s="2"/>
      <c r="K71" s="2"/>
      <c r="L71" s="2"/>
    </row>
    <row r="72" spans="1:12" ht="18" x14ac:dyDescent="0.25">
      <c r="A72" s="114" t="s">
        <v>61</v>
      </c>
      <c r="B72" s="114"/>
      <c r="C72" s="149" t="s">
        <v>54</v>
      </c>
      <c r="D72" s="160">
        <f>C42</f>
        <v>15000</v>
      </c>
      <c r="E72" s="7" t="s">
        <v>62</v>
      </c>
      <c r="F72" s="7"/>
      <c r="G72" s="7"/>
      <c r="H72" s="12"/>
      <c r="I72" s="12"/>
      <c r="J72" s="2"/>
      <c r="K72" s="2"/>
      <c r="L72" s="2"/>
    </row>
    <row r="73" spans="1:12" ht="18" x14ac:dyDescent="0.25">
      <c r="A73" s="114" t="s">
        <v>63</v>
      </c>
      <c r="B73" s="114"/>
      <c r="C73" s="149" t="str">
        <f>C71</f>
        <v>+</v>
      </c>
      <c r="D73" s="156">
        <v>10000</v>
      </c>
      <c r="E73" s="7" t="s">
        <v>64</v>
      </c>
      <c r="F73" s="7"/>
      <c r="G73" s="7"/>
      <c r="H73" s="12"/>
      <c r="I73" s="12"/>
      <c r="J73" s="2"/>
      <c r="K73" s="2"/>
      <c r="L73" s="2"/>
    </row>
    <row r="74" spans="1:12" ht="18" x14ac:dyDescent="0.25">
      <c r="A74" s="114" t="s">
        <v>65</v>
      </c>
      <c r="B74" s="114"/>
      <c r="C74" s="149" t="s">
        <v>66</v>
      </c>
      <c r="D74" s="157">
        <f>D68-D69-D70+D71-D72+D73</f>
        <v>218337</v>
      </c>
      <c r="E74" s="12"/>
      <c r="F74" s="7"/>
      <c r="G74" s="7"/>
      <c r="H74" s="12"/>
      <c r="I74" s="12"/>
      <c r="J74" s="2"/>
      <c r="K74" s="2"/>
      <c r="L74" s="2"/>
    </row>
    <row r="75" spans="1:12" x14ac:dyDescent="0.2">
      <c r="A75" s="114" t="s">
        <v>67</v>
      </c>
      <c r="B75" s="114"/>
      <c r="C75" s="6"/>
      <c r="D75" s="157">
        <f>D74/C30</f>
        <v>243.32664335236851</v>
      </c>
      <c r="E75" s="6" t="s">
        <v>68</v>
      </c>
      <c r="F75" s="6"/>
      <c r="G75" s="6"/>
      <c r="H75" s="1"/>
      <c r="I75" s="1"/>
      <c r="J75" s="2"/>
      <c r="K75" s="2"/>
      <c r="L75" s="2"/>
    </row>
    <row r="76" spans="1:12" x14ac:dyDescent="0.2">
      <c r="A76" s="113" t="s">
        <v>69</v>
      </c>
      <c r="B76" s="113"/>
      <c r="C76" s="6"/>
      <c r="D76" s="157">
        <f>E65+D74</f>
        <v>707525.99946602946</v>
      </c>
      <c r="E76" s="2"/>
      <c r="F76" s="6" t="s">
        <v>70</v>
      </c>
      <c r="G76" s="6"/>
      <c r="H76" s="1"/>
      <c r="I76" s="1"/>
      <c r="J76" s="2"/>
      <c r="K76" s="2"/>
      <c r="L76" s="2"/>
    </row>
    <row r="77" spans="1:12" x14ac:dyDescent="0.2">
      <c r="A77" s="114"/>
      <c r="B77" s="114"/>
      <c r="C77" s="6"/>
      <c r="D77" s="6"/>
      <c r="E77" s="6"/>
      <c r="F77" s="6"/>
      <c r="G77" s="6"/>
      <c r="H77" s="1"/>
      <c r="I77" s="1"/>
      <c r="J77" s="2"/>
      <c r="K77" s="2"/>
      <c r="L77" s="2"/>
    </row>
    <row r="78" spans="1:12" x14ac:dyDescent="0.2">
      <c r="A78" s="114"/>
      <c r="B78" s="114"/>
      <c r="C78" s="125" t="str">
        <f>C55</f>
        <v>CornGrain</v>
      </c>
      <c r="D78" s="125" t="str">
        <f t="shared" ref="D78:I78" si="16">D55</f>
        <v>SoyBean</v>
      </c>
      <c r="E78" s="125" t="str">
        <f t="shared" si="16"/>
        <v>SRWheat</v>
      </c>
      <c r="F78" s="120" t="str">
        <f t="shared" si="16"/>
        <v>Alfalfa 5yr Rot</v>
      </c>
      <c r="G78" s="120" t="str">
        <f t="shared" si="16"/>
        <v>Irr.Corn</v>
      </c>
      <c r="H78" s="120" t="str">
        <f t="shared" si="16"/>
        <v>C.Silage</v>
      </c>
      <c r="I78" s="120" t="str">
        <f t="shared" si="16"/>
        <v>other3</v>
      </c>
      <c r="J78" s="2"/>
      <c r="K78" s="2"/>
      <c r="L78" s="2"/>
    </row>
    <row r="79" spans="1:12" x14ac:dyDescent="0.2">
      <c r="A79" s="114" t="s">
        <v>71</v>
      </c>
      <c r="B79" s="114"/>
      <c r="C79" s="164">
        <f t="shared" ref="C79:I79" si="17">IF(C62&gt;0,($D75+C58),0)</f>
        <v>778.79082368023728</v>
      </c>
      <c r="D79" s="164">
        <f t="shared" si="17"/>
        <v>508.7074630244997</v>
      </c>
      <c r="E79" s="164">
        <f t="shared" si="17"/>
        <v>531.90830728679475</v>
      </c>
      <c r="F79" s="164">
        <f t="shared" si="17"/>
        <v>652.14713515564722</v>
      </c>
      <c r="G79" s="164">
        <f t="shared" si="17"/>
        <v>1014.2070531884342</v>
      </c>
      <c r="H79" s="164">
        <f t="shared" si="17"/>
        <v>1091.9983564671227</v>
      </c>
      <c r="I79" s="165">
        <f t="shared" si="17"/>
        <v>0</v>
      </c>
      <c r="J79" s="2"/>
      <c r="K79" s="2"/>
      <c r="L79" s="2"/>
    </row>
    <row r="80" spans="1:12" x14ac:dyDescent="0.2">
      <c r="A80" s="114" t="s">
        <v>72</v>
      </c>
      <c r="B80" s="114"/>
      <c r="C80" s="165"/>
      <c r="D80" s="165"/>
      <c r="E80" s="165"/>
      <c r="F80" s="165"/>
      <c r="G80" s="165"/>
      <c r="H80" s="165"/>
      <c r="I80" s="165"/>
      <c r="J80" s="2"/>
      <c r="K80" s="2"/>
      <c r="L80" s="2"/>
    </row>
    <row r="81" spans="1:16" x14ac:dyDescent="0.2">
      <c r="A81" s="114" t="s">
        <v>187</v>
      </c>
      <c r="B81" s="114"/>
      <c r="C81" s="165">
        <f t="shared" ref="C81:I81" si="18">IF(C79&gt;0,(C79/C4),0)</f>
        <v>4.5811224922366902</v>
      </c>
      <c r="D81" s="165">
        <f t="shared" si="18"/>
        <v>10.174149260489994</v>
      </c>
      <c r="E81" s="165">
        <f t="shared" si="18"/>
        <v>6.2577447916093503</v>
      </c>
      <c r="F81" s="165">
        <f t="shared" si="18"/>
        <v>130.42942703112945</v>
      </c>
      <c r="G81" s="165">
        <f t="shared" si="18"/>
        <v>4.6100320599474278</v>
      </c>
      <c r="H81" s="165">
        <f t="shared" si="18"/>
        <v>48.176398079431877</v>
      </c>
      <c r="I81" s="165">
        <f t="shared" si="18"/>
        <v>0</v>
      </c>
      <c r="J81" s="2"/>
      <c r="K81" s="2"/>
      <c r="L81" s="2"/>
    </row>
    <row r="82" spans="1:16" x14ac:dyDescent="0.2">
      <c r="A82" s="114" t="s">
        <v>73</v>
      </c>
      <c r="B82" s="114"/>
      <c r="C82" s="120"/>
      <c r="D82" s="120"/>
      <c r="E82" s="120"/>
      <c r="F82" s="6"/>
      <c r="G82" s="6"/>
      <c r="H82" s="1"/>
      <c r="I82" s="1"/>
      <c r="J82" s="2"/>
      <c r="K82" s="2"/>
      <c r="L82" s="2"/>
    </row>
    <row r="83" spans="1:16" x14ac:dyDescent="0.2">
      <c r="A83" s="1" t="s">
        <v>268</v>
      </c>
      <c r="B83" s="1"/>
      <c r="C83" s="6"/>
      <c r="D83" s="6"/>
      <c r="E83" s="6"/>
      <c r="F83" s="6"/>
      <c r="G83" s="6"/>
      <c r="H83" s="1"/>
      <c r="I83" s="1"/>
      <c r="J83" s="2"/>
      <c r="K83" s="2"/>
      <c r="L83" s="2"/>
    </row>
    <row r="84" spans="1:16" x14ac:dyDescent="0.2">
      <c r="A84" s="110" t="s">
        <v>200</v>
      </c>
      <c r="B84" s="110"/>
      <c r="C84" s="12"/>
      <c r="D84" s="6"/>
      <c r="E84" s="2"/>
      <c r="F84" s="6"/>
      <c r="G84" s="6"/>
      <c r="H84" s="1"/>
      <c r="I84" s="1"/>
      <c r="J84" s="2"/>
      <c r="K84" s="2"/>
      <c r="L84" s="2"/>
    </row>
    <row r="85" spans="1:16" x14ac:dyDescent="0.2">
      <c r="A85" s="111" t="s">
        <v>74</v>
      </c>
      <c r="B85" s="111"/>
      <c r="C85" s="12"/>
      <c r="D85" s="161">
        <f>D74</f>
        <v>218337</v>
      </c>
      <c r="E85" s="7" t="s">
        <v>75</v>
      </c>
      <c r="F85" s="7"/>
      <c r="G85" s="7"/>
      <c r="H85" s="12"/>
      <c r="I85" s="12"/>
      <c r="J85" s="2"/>
      <c r="K85" s="2"/>
      <c r="L85" s="2"/>
    </row>
    <row r="86" spans="1:16" ht="18" x14ac:dyDescent="0.25">
      <c r="A86" s="111" t="s">
        <v>76</v>
      </c>
      <c r="B86" s="111"/>
      <c r="C86" s="149" t="s">
        <v>54</v>
      </c>
      <c r="D86" s="157">
        <f>C39</f>
        <v>55000</v>
      </c>
      <c r="E86" s="7" t="s">
        <v>77</v>
      </c>
      <c r="F86" s="12"/>
      <c r="G86" s="12"/>
      <c r="H86" s="12"/>
      <c r="I86" s="12"/>
      <c r="J86" s="2"/>
      <c r="K86" s="2"/>
      <c r="L86" s="2"/>
    </row>
    <row r="87" spans="1:16" ht="18" x14ac:dyDescent="0.25">
      <c r="A87" s="111" t="s">
        <v>78</v>
      </c>
      <c r="B87" s="111"/>
      <c r="C87" s="149" t="s">
        <v>54</v>
      </c>
      <c r="D87" s="157">
        <f>C31</f>
        <v>49930</v>
      </c>
      <c r="E87" s="7" t="s">
        <v>79</v>
      </c>
      <c r="F87" s="7"/>
      <c r="G87" s="12"/>
      <c r="H87" s="12"/>
      <c r="I87" s="12"/>
      <c r="J87" s="2"/>
      <c r="K87" s="2"/>
      <c r="L87" s="2"/>
    </row>
    <row r="88" spans="1:16" ht="18" x14ac:dyDescent="0.25">
      <c r="A88" s="111" t="s">
        <v>80</v>
      </c>
      <c r="B88" s="111"/>
      <c r="C88" s="149" t="s">
        <v>59</v>
      </c>
      <c r="D88" s="156">
        <v>70000</v>
      </c>
      <c r="E88" s="7" t="s">
        <v>81</v>
      </c>
      <c r="F88" s="7"/>
      <c r="G88" s="12"/>
      <c r="H88" s="12"/>
      <c r="I88" s="12"/>
      <c r="J88" s="2"/>
      <c r="K88" s="2"/>
      <c r="L88" s="2"/>
    </row>
    <row r="89" spans="1:16" ht="18" x14ac:dyDescent="0.25">
      <c r="A89" s="111" t="s">
        <v>82</v>
      </c>
      <c r="B89" s="111"/>
      <c r="C89" s="149" t="s">
        <v>59</v>
      </c>
      <c r="D89" s="156">
        <v>10000</v>
      </c>
      <c r="E89" s="7" t="s">
        <v>83</v>
      </c>
      <c r="F89" s="7"/>
      <c r="G89" s="7"/>
      <c r="H89" s="12"/>
      <c r="I89" s="12"/>
      <c r="J89" s="2"/>
      <c r="K89" s="2"/>
      <c r="L89" s="2"/>
    </row>
    <row r="90" spans="1:16" ht="18" x14ac:dyDescent="0.25">
      <c r="A90" s="111" t="s">
        <v>84</v>
      </c>
      <c r="B90" s="111"/>
      <c r="C90" s="149" t="s">
        <v>66</v>
      </c>
      <c r="D90" s="157">
        <f>D85-D86-D87+D88+D89</f>
        <v>193407</v>
      </c>
      <c r="E90" s="7" t="s">
        <v>85</v>
      </c>
      <c r="F90" s="7"/>
      <c r="G90" s="7"/>
      <c r="H90" s="12"/>
      <c r="I90" s="12"/>
      <c r="J90" s="2"/>
      <c r="K90" s="2"/>
      <c r="L90" s="2"/>
    </row>
    <row r="91" spans="1:16" x14ac:dyDescent="0.2">
      <c r="A91" s="112"/>
      <c r="B91" s="112"/>
      <c r="C91" s="6"/>
      <c r="D91" s="6"/>
      <c r="E91" s="12" t="s">
        <v>86</v>
      </c>
      <c r="F91" s="7"/>
      <c r="G91" s="7"/>
      <c r="H91" s="12"/>
      <c r="I91" s="12"/>
      <c r="J91" s="2"/>
      <c r="K91" s="2"/>
      <c r="L91" s="2"/>
    </row>
    <row r="92" spans="1:16" x14ac:dyDescent="0.2">
      <c r="A92" s="111" t="s">
        <v>87</v>
      </c>
      <c r="B92" s="111"/>
      <c r="C92" s="6"/>
      <c r="D92" s="6">
        <f>D90/C30</f>
        <v>215.54329367377741</v>
      </c>
      <c r="E92" s="6" t="s">
        <v>88</v>
      </c>
      <c r="F92" s="6"/>
      <c r="G92" s="6"/>
      <c r="H92" s="1"/>
      <c r="I92" s="1"/>
      <c r="J92" s="2"/>
      <c r="K92" s="2"/>
      <c r="L92" s="2"/>
    </row>
    <row r="93" spans="1:16" x14ac:dyDescent="0.2">
      <c r="A93" s="111"/>
      <c r="B93" s="111"/>
      <c r="C93" s="6"/>
      <c r="D93" s="6"/>
      <c r="E93" s="6"/>
      <c r="F93" s="6"/>
      <c r="G93" s="6"/>
      <c r="H93" s="1"/>
      <c r="I93" s="1"/>
      <c r="J93" s="2"/>
      <c r="K93" s="2"/>
      <c r="L93" s="2"/>
    </row>
    <row r="94" spans="1:16" x14ac:dyDescent="0.2">
      <c r="A94" s="110" t="s">
        <v>89</v>
      </c>
      <c r="B94" s="110"/>
      <c r="C94" s="112"/>
      <c r="D94" s="162">
        <f>E65+D90</f>
        <v>682595.99946602946</v>
      </c>
      <c r="E94" s="112"/>
      <c r="F94" s="6" t="s">
        <v>90</v>
      </c>
      <c r="G94" s="6"/>
      <c r="H94" s="1"/>
      <c r="I94" s="1"/>
      <c r="J94" s="2"/>
      <c r="K94" s="2"/>
      <c r="L94" s="2"/>
    </row>
    <row r="95" spans="1:16" x14ac:dyDescent="0.2">
      <c r="A95" s="111"/>
      <c r="B95" s="111"/>
      <c r="C95" s="112"/>
      <c r="D95" s="118"/>
      <c r="E95" s="112"/>
      <c r="F95" s="6"/>
      <c r="G95" s="6"/>
      <c r="H95" s="1"/>
      <c r="I95" s="1"/>
      <c r="J95" s="2"/>
      <c r="K95" s="2"/>
      <c r="L95" s="2"/>
    </row>
    <row r="96" spans="1:16" x14ac:dyDescent="0.2">
      <c r="A96" s="111"/>
      <c r="B96" s="111"/>
      <c r="C96" s="119" t="str">
        <f t="shared" ref="C96:I96" si="19">C78</f>
        <v>CornGrain</v>
      </c>
      <c r="D96" s="119" t="str">
        <f t="shared" si="19"/>
        <v>SoyBean</v>
      </c>
      <c r="E96" s="119" t="str">
        <f t="shared" si="19"/>
        <v>SRWheat</v>
      </c>
      <c r="F96" s="119" t="str">
        <f t="shared" si="19"/>
        <v>Alfalfa 5yr Rot</v>
      </c>
      <c r="G96" s="119" t="str">
        <f t="shared" si="19"/>
        <v>Irr.Corn</v>
      </c>
      <c r="H96" s="119" t="str">
        <f t="shared" si="19"/>
        <v>C.Silage</v>
      </c>
      <c r="I96" s="119" t="str">
        <f t="shared" si="19"/>
        <v>other3</v>
      </c>
      <c r="J96" s="6"/>
      <c r="K96" s="6"/>
      <c r="L96" s="6"/>
      <c r="M96" s="5"/>
      <c r="N96" s="5"/>
      <c r="O96" s="5"/>
      <c r="P96" s="5"/>
    </row>
    <row r="97" spans="1:12" x14ac:dyDescent="0.2">
      <c r="A97" s="111" t="s">
        <v>91</v>
      </c>
      <c r="B97" s="111"/>
      <c r="C97" s="163">
        <f t="shared" ref="C97:I97" si="20">IF(C81&gt;0,(C58+$D92),0)</f>
        <v>751.00747400164619</v>
      </c>
      <c r="D97" s="163">
        <f>IF(D81&gt;0,(D58+$D92),0)</f>
        <v>480.92411334590861</v>
      </c>
      <c r="E97" s="163">
        <f t="shared" si="20"/>
        <v>504.12495760820366</v>
      </c>
      <c r="F97" s="163">
        <f t="shared" si="20"/>
        <v>624.36378547705613</v>
      </c>
      <c r="G97" s="163">
        <f t="shared" si="20"/>
        <v>986.42370350984311</v>
      </c>
      <c r="H97" s="163">
        <f t="shared" si="20"/>
        <v>1064.2150067885316</v>
      </c>
      <c r="I97" s="163">
        <f t="shared" si="20"/>
        <v>0</v>
      </c>
      <c r="J97" s="2"/>
      <c r="K97" s="2"/>
      <c r="L97" s="2"/>
    </row>
    <row r="98" spans="1:12" x14ac:dyDescent="0.2">
      <c r="A98" s="111" t="s">
        <v>92</v>
      </c>
      <c r="B98" s="111"/>
      <c r="C98" s="119"/>
      <c r="D98" s="119"/>
      <c r="E98" s="119"/>
      <c r="F98" s="119"/>
      <c r="G98" s="119"/>
      <c r="H98" s="119"/>
      <c r="I98" s="119"/>
      <c r="J98" s="2"/>
      <c r="K98" s="2"/>
      <c r="L98" s="2"/>
    </row>
    <row r="99" spans="1:12" x14ac:dyDescent="0.2">
      <c r="A99" s="111" t="s">
        <v>188</v>
      </c>
      <c r="B99" s="111"/>
      <c r="C99" s="119">
        <f t="shared" ref="C99:I99" si="21">IF(C97&gt;0,(C97/C4),0)</f>
        <v>4.4176910235390956</v>
      </c>
      <c r="D99" s="119">
        <f t="shared" si="21"/>
        <v>9.6184822669181713</v>
      </c>
      <c r="E99" s="119">
        <f t="shared" si="21"/>
        <v>5.930881854214161</v>
      </c>
      <c r="F99" s="119">
        <f t="shared" si="21"/>
        <v>124.87275709541123</v>
      </c>
      <c r="G99" s="119">
        <f t="shared" si="21"/>
        <v>4.4837441068629236</v>
      </c>
      <c r="H99" s="119">
        <f t="shared" si="21"/>
        <v>46.950662064199918</v>
      </c>
      <c r="I99" s="119">
        <f t="shared" si="21"/>
        <v>0</v>
      </c>
      <c r="J99" s="2"/>
      <c r="K99" s="2"/>
      <c r="L99" s="2"/>
    </row>
    <row r="100" spans="1:12" x14ac:dyDescent="0.2">
      <c r="A100" s="111" t="s">
        <v>93</v>
      </c>
      <c r="B100" s="111"/>
      <c r="C100" s="119"/>
      <c r="D100" s="119"/>
      <c r="E100" s="119"/>
      <c r="F100" s="119"/>
      <c r="G100" s="119"/>
      <c r="H100" s="119"/>
      <c r="I100" s="119"/>
      <c r="J100" s="2"/>
      <c r="K100" s="2"/>
      <c r="L100" s="2"/>
    </row>
    <row r="101" spans="1:12" ht="15" x14ac:dyDescent="0.25">
      <c r="A101" s="14"/>
      <c r="B101" s="14"/>
      <c r="C101" s="154" t="str">
        <f>C55</f>
        <v>CornGrain</v>
      </c>
      <c r="D101" s="154" t="str">
        <f t="shared" ref="D101:I101" si="22">D55</f>
        <v>SoyBean</v>
      </c>
      <c r="E101" s="154" t="str">
        <f t="shared" si="22"/>
        <v>SRWheat</v>
      </c>
      <c r="F101" s="155" t="str">
        <f t="shared" si="22"/>
        <v>Alfalfa 5yr Rot</v>
      </c>
      <c r="G101" s="154" t="str">
        <f t="shared" si="22"/>
        <v>Irr.Corn</v>
      </c>
      <c r="H101" s="154" t="str">
        <f t="shared" si="22"/>
        <v>C.Silage</v>
      </c>
      <c r="I101" s="154" t="str">
        <f t="shared" si="22"/>
        <v>other3</v>
      </c>
      <c r="J101" s="2"/>
      <c r="K101" s="2"/>
      <c r="L101" s="2"/>
    </row>
    <row r="102" spans="1:12" ht="15" x14ac:dyDescent="0.25">
      <c r="A102" s="15" t="str">
        <f t="shared" ref="A102:I102" si="23">A51</f>
        <v>35. Total Economic Cost / Bu/Ton</v>
      </c>
      <c r="B102" s="15"/>
      <c r="C102" s="15">
        <f t="shared" si="23"/>
        <v>5.1141529490490738</v>
      </c>
      <c r="D102" s="15">
        <f t="shared" si="23"/>
        <v>11.9864528136521</v>
      </c>
      <c r="E102" s="15">
        <f t="shared" si="23"/>
        <v>7.3238057052341174</v>
      </c>
      <c r="F102" s="15">
        <f t="shared" si="23"/>
        <v>148.55246256275049</v>
      </c>
      <c r="G102" s="15">
        <f t="shared" si="23"/>
        <v>5.0219192311206342</v>
      </c>
      <c r="H102" s="15">
        <f t="shared" si="23"/>
        <v>52.174126505524761</v>
      </c>
      <c r="I102" s="15">
        <f t="shared" si="23"/>
        <v>0</v>
      </c>
      <c r="J102" s="2"/>
      <c r="K102" s="2"/>
      <c r="L102" s="2"/>
    </row>
    <row r="103" spans="1:12" ht="15" x14ac:dyDescent="0.25">
      <c r="A103" s="15" t="str">
        <f t="shared" ref="A103:I103" si="24">A81</f>
        <v>51. Maintain Net Worth per Bu/Ton</v>
      </c>
      <c r="B103" s="15"/>
      <c r="C103" s="15">
        <f t="shared" si="24"/>
        <v>4.5811224922366902</v>
      </c>
      <c r="D103" s="15">
        <f t="shared" si="24"/>
        <v>10.174149260489994</v>
      </c>
      <c r="E103" s="15">
        <f t="shared" si="24"/>
        <v>6.2577447916093503</v>
      </c>
      <c r="F103" s="15">
        <f t="shared" si="24"/>
        <v>130.42942703112945</v>
      </c>
      <c r="G103" s="15">
        <f t="shared" si="24"/>
        <v>4.6100320599474278</v>
      </c>
      <c r="H103" s="15">
        <f t="shared" si="24"/>
        <v>48.176398079431877</v>
      </c>
      <c r="I103" s="15">
        <f t="shared" si="24"/>
        <v>0</v>
      </c>
      <c r="J103" s="2"/>
      <c r="K103" s="2"/>
      <c r="L103" s="2"/>
    </row>
    <row r="104" spans="1:12" ht="15" x14ac:dyDescent="0.25">
      <c r="A104" s="15" t="str">
        <f t="shared" ref="A104:I104" si="25">A99</f>
        <v>61. Meet Cash Flow Demands per Bu/Ton</v>
      </c>
      <c r="B104" s="15"/>
      <c r="C104" s="15">
        <f t="shared" si="25"/>
        <v>4.4176910235390956</v>
      </c>
      <c r="D104" s="15">
        <f t="shared" si="25"/>
        <v>9.6184822669181713</v>
      </c>
      <c r="E104" s="15">
        <f t="shared" si="25"/>
        <v>5.930881854214161</v>
      </c>
      <c r="F104" s="15">
        <f t="shared" si="25"/>
        <v>124.87275709541123</v>
      </c>
      <c r="G104" s="15">
        <f t="shared" si="25"/>
        <v>4.4837441068629236</v>
      </c>
      <c r="H104" s="15">
        <f t="shared" si="25"/>
        <v>46.950662064199918</v>
      </c>
      <c r="I104" s="15">
        <f t="shared" si="25"/>
        <v>0</v>
      </c>
      <c r="J104" s="2"/>
      <c r="K104" s="2"/>
      <c r="L104" s="2"/>
    </row>
    <row r="105" spans="1:12" ht="15" x14ac:dyDescent="0.25">
      <c r="A105" s="15"/>
      <c r="B105" s="15"/>
      <c r="C105" s="14" t="str">
        <f>C101</f>
        <v>CornGrain</v>
      </c>
      <c r="D105" s="14" t="str">
        <f t="shared" ref="D105:I105" si="26">D101</f>
        <v>SoyBean</v>
      </c>
      <c r="E105" s="14" t="str">
        <f t="shared" si="26"/>
        <v>SRWheat</v>
      </c>
      <c r="F105" s="14" t="str">
        <f t="shared" si="26"/>
        <v>Alfalfa 5yr Rot</v>
      </c>
      <c r="G105" s="14" t="str">
        <f t="shared" si="26"/>
        <v>Irr.Corn</v>
      </c>
      <c r="H105" s="14" t="str">
        <f t="shared" si="26"/>
        <v>C.Silage</v>
      </c>
      <c r="I105" s="14" t="str">
        <f t="shared" si="26"/>
        <v>other3</v>
      </c>
      <c r="J105" s="2"/>
      <c r="K105" s="2"/>
      <c r="L105" s="2"/>
    </row>
    <row r="106" spans="1:12" ht="15" x14ac:dyDescent="0.25">
      <c r="A106" s="15" t="s">
        <v>134</v>
      </c>
      <c r="B106" s="15"/>
      <c r="C106" s="15">
        <f t="shared" ref="C106:I106" si="27">C5</f>
        <v>4.3</v>
      </c>
      <c r="D106" s="15">
        <f t="shared" si="27"/>
        <v>10.7</v>
      </c>
      <c r="E106" s="15">
        <f t="shared" si="27"/>
        <v>5.3</v>
      </c>
      <c r="F106" s="15">
        <f t="shared" si="27"/>
        <v>120</v>
      </c>
      <c r="G106" s="15">
        <f t="shared" si="27"/>
        <v>4.3</v>
      </c>
      <c r="H106" s="15">
        <f t="shared" si="27"/>
        <v>50.75</v>
      </c>
      <c r="I106" s="15">
        <f t="shared" si="27"/>
        <v>0</v>
      </c>
      <c r="J106" s="2"/>
      <c r="K106" s="2"/>
      <c r="L106" s="2"/>
    </row>
    <row r="107" spans="1:12" ht="15" x14ac:dyDescent="0.25">
      <c r="A107" s="191" t="s">
        <v>231</v>
      </c>
      <c r="B107" s="191"/>
      <c r="C107" s="15"/>
      <c r="D107" s="15"/>
      <c r="E107" s="15"/>
      <c r="F107" s="15"/>
      <c r="G107" s="15"/>
      <c r="H107" s="15"/>
      <c r="I107" s="15"/>
      <c r="J107" s="2"/>
      <c r="K107" s="2"/>
      <c r="L107" s="2"/>
    </row>
    <row r="108" spans="1:12" ht="15" x14ac:dyDescent="0.25">
      <c r="A108" s="189" t="s">
        <v>234</v>
      </c>
      <c r="B108" s="189"/>
      <c r="C108" s="15">
        <f>C106-C102</f>
        <v>-0.81415294904907398</v>
      </c>
      <c r="D108" s="15">
        <f t="shared" ref="D108:I108" si="28">D106-D102</f>
        <v>-1.286452813652101</v>
      </c>
      <c r="E108" s="15">
        <f t="shared" si="28"/>
        <v>-2.0238057052341176</v>
      </c>
      <c r="F108" s="15">
        <f t="shared" si="28"/>
        <v>-28.552462562750492</v>
      </c>
      <c r="G108" s="15">
        <f t="shared" si="28"/>
        <v>-0.72191923112063439</v>
      </c>
      <c r="H108" s="15">
        <f t="shared" si="28"/>
        <v>-1.4241265055247609</v>
      </c>
      <c r="I108" s="15">
        <f t="shared" si="28"/>
        <v>0</v>
      </c>
      <c r="J108" s="2"/>
      <c r="K108" s="2"/>
      <c r="L108" s="2"/>
    </row>
    <row r="109" spans="1:12" ht="15" x14ac:dyDescent="0.25">
      <c r="A109" s="189" t="s">
        <v>233</v>
      </c>
      <c r="B109" s="189"/>
      <c r="C109" s="15">
        <f t="shared" ref="C109:I109" si="29">C108*C4</f>
        <v>-138.40600133834258</v>
      </c>
      <c r="D109" s="15">
        <f t="shared" si="29"/>
        <v>-64.322640682605055</v>
      </c>
      <c r="E109" s="15">
        <f t="shared" si="29"/>
        <v>-172.02348494489999</v>
      </c>
      <c r="F109" s="15">
        <f t="shared" si="29"/>
        <v>-142.76231281375246</v>
      </c>
      <c r="G109" s="15">
        <f t="shared" si="29"/>
        <v>-158.82223084653955</v>
      </c>
      <c r="H109" s="15">
        <f t="shared" si="29"/>
        <v>-32.280200791894586</v>
      </c>
      <c r="I109" s="15">
        <f t="shared" si="29"/>
        <v>0</v>
      </c>
      <c r="J109" s="2"/>
      <c r="K109" s="2"/>
      <c r="L109" s="2"/>
    </row>
    <row r="110" spans="1:12" ht="15" x14ac:dyDescent="0.25">
      <c r="A110" s="190" t="s">
        <v>232</v>
      </c>
      <c r="B110" s="190"/>
      <c r="C110" s="143">
        <f>C109*C56</f>
        <v>-29632.724886539145</v>
      </c>
      <c r="D110" s="143">
        <f t="shared" ref="D110:I110" si="30">D109*D56</f>
        <v>-15784.77602351128</v>
      </c>
      <c r="E110" s="143">
        <f t="shared" si="30"/>
        <v>-10011.766823793179</v>
      </c>
      <c r="F110" s="143">
        <f t="shared" si="30"/>
        <v>-1.4276231281375244E-4</v>
      </c>
      <c r="G110" s="143">
        <f t="shared" si="30"/>
        <v>-60288.918829346418</v>
      </c>
      <c r="H110" s="143">
        <f t="shared" si="30"/>
        <v>-3.228020079189459E-4</v>
      </c>
      <c r="I110" s="143">
        <f t="shared" si="30"/>
        <v>0</v>
      </c>
      <c r="J110" s="2"/>
      <c r="K110" s="2"/>
      <c r="L110" s="2"/>
    </row>
    <row r="111" spans="1:12" ht="15" x14ac:dyDescent="0.25">
      <c r="A111" s="190" t="s">
        <v>235</v>
      </c>
      <c r="B111" s="190"/>
      <c r="C111" s="143">
        <f>SUM(C110:I110)</f>
        <v>-115718.18702875434</v>
      </c>
      <c r="D111" s="2"/>
      <c r="E111" s="2"/>
      <c r="F111" s="2"/>
      <c r="G111" s="139"/>
      <c r="H111" s="2"/>
      <c r="I111" s="2"/>
      <c r="J111" s="2"/>
      <c r="K111" s="2"/>
      <c r="L111" s="2"/>
    </row>
    <row r="112" spans="1:12" ht="15.75" x14ac:dyDescent="0.25">
      <c r="A112" s="190" t="s">
        <v>236</v>
      </c>
      <c r="B112" s="190"/>
      <c r="C112" s="144">
        <f t="shared" ref="C112:I112" si="31">-(C109/C5)+C4</f>
        <v>202.18744217170757</v>
      </c>
      <c r="D112" s="144">
        <f t="shared" si="31"/>
        <v>56.011461746037853</v>
      </c>
      <c r="E112" s="144">
        <f t="shared" si="31"/>
        <v>117.45726131035849</v>
      </c>
      <c r="F112" s="144">
        <f t="shared" si="31"/>
        <v>6.1896859401146038</v>
      </c>
      <c r="G112" s="144">
        <f t="shared" si="31"/>
        <v>256.93540252245106</v>
      </c>
      <c r="H112" s="144">
        <f t="shared" si="31"/>
        <v>23.302729736457692</v>
      </c>
      <c r="I112" s="144" t="e">
        <f t="shared" si="31"/>
        <v>#DIV/0!</v>
      </c>
      <c r="J112" s="2"/>
      <c r="K112" s="2"/>
      <c r="L112" s="2"/>
    </row>
    <row r="113" spans="1:12" ht="15.75" x14ac:dyDescent="0.25">
      <c r="A113" s="190" t="s">
        <v>237</v>
      </c>
      <c r="B113" s="190"/>
      <c r="C113" s="145">
        <f t="shared" ref="C113:I113" si="32">-(C109/C4)+C5</f>
        <v>5.1141529490490738</v>
      </c>
      <c r="D113" s="145">
        <f t="shared" si="32"/>
        <v>11.9864528136521</v>
      </c>
      <c r="E113" s="145">
        <f t="shared" si="32"/>
        <v>7.3238057052341174</v>
      </c>
      <c r="F113" s="145">
        <f t="shared" si="32"/>
        <v>148.55246256275049</v>
      </c>
      <c r="G113" s="145">
        <f t="shared" si="32"/>
        <v>5.0219192311206342</v>
      </c>
      <c r="H113" s="145">
        <f t="shared" si="32"/>
        <v>52.174126505524761</v>
      </c>
      <c r="I113" s="145">
        <f t="shared" si="32"/>
        <v>0</v>
      </c>
      <c r="J113" s="2"/>
      <c r="K113" s="2"/>
      <c r="L113" s="2"/>
    </row>
    <row r="114" spans="1:12" x14ac:dyDescent="0.2">
      <c r="A114" s="2"/>
      <c r="B114" s="2"/>
      <c r="C114" s="2"/>
      <c r="D114" s="2"/>
      <c r="E114" s="2"/>
      <c r="F114" s="2"/>
      <c r="G114" s="2"/>
      <c r="H114" s="2"/>
      <c r="I114" s="2"/>
      <c r="J114" s="2"/>
      <c r="K114" s="2"/>
      <c r="L114" s="2"/>
    </row>
    <row r="115" spans="1:12" x14ac:dyDescent="0.2">
      <c r="A115" s="2"/>
      <c r="B115" s="2"/>
      <c r="C115" s="2"/>
      <c r="D115" s="2"/>
      <c r="E115" s="2"/>
      <c r="F115" s="2"/>
      <c r="G115" s="2"/>
      <c r="H115" s="2"/>
      <c r="I115" s="2"/>
      <c r="J115" s="2"/>
      <c r="K115" s="2"/>
      <c r="L115" s="2"/>
    </row>
    <row r="116" spans="1:12" ht="15" x14ac:dyDescent="0.25">
      <c r="A116" s="14"/>
      <c r="B116" s="15"/>
      <c r="C116" s="2"/>
      <c r="D116" s="2"/>
      <c r="E116" s="2"/>
      <c r="F116" s="2"/>
      <c r="G116" s="2"/>
      <c r="H116" s="2"/>
      <c r="I116" s="2"/>
      <c r="J116" s="2"/>
      <c r="K116" s="2"/>
      <c r="L116" s="2"/>
    </row>
    <row r="117" spans="1:12" ht="15" x14ac:dyDescent="0.25">
      <c r="A117" s="15"/>
      <c r="B117" s="15"/>
      <c r="C117" s="139"/>
      <c r="D117" s="139"/>
      <c r="E117" s="139"/>
      <c r="F117" s="139"/>
      <c r="G117" s="139"/>
      <c r="H117" s="139"/>
      <c r="I117" s="139"/>
      <c r="J117" s="2"/>
      <c r="K117" s="2"/>
      <c r="L117" s="2"/>
    </row>
    <row r="118" spans="1:12" ht="15" x14ac:dyDescent="0.25">
      <c r="A118" s="15"/>
      <c r="B118" s="15"/>
      <c r="C118" s="139"/>
      <c r="D118" s="139"/>
      <c r="E118" s="139"/>
      <c r="F118" s="139"/>
      <c r="G118" s="139"/>
      <c r="H118" s="139"/>
      <c r="I118" s="139"/>
      <c r="J118" s="2"/>
      <c r="K118" s="2"/>
      <c r="L118" s="2"/>
    </row>
    <row r="119" spans="1:12" ht="15" x14ac:dyDescent="0.25">
      <c r="A119" s="15"/>
      <c r="B119" s="15"/>
      <c r="C119" s="139"/>
      <c r="D119" s="139"/>
      <c r="E119" s="139"/>
      <c r="F119" s="139"/>
      <c r="G119" s="139"/>
      <c r="H119" s="139"/>
      <c r="I119" s="139"/>
      <c r="J119" s="2"/>
      <c r="K119" s="2"/>
      <c r="L119" s="2"/>
    </row>
    <row r="120" spans="1:12" ht="15" x14ac:dyDescent="0.25">
      <c r="A120" s="15"/>
      <c r="B120" s="15"/>
      <c r="C120" s="136"/>
      <c r="D120" s="136"/>
      <c r="E120" s="136"/>
      <c r="F120" s="136"/>
      <c r="G120" s="136"/>
      <c r="H120" s="136"/>
      <c r="I120" s="136"/>
      <c r="J120" s="2"/>
      <c r="K120" s="2"/>
      <c r="L120" s="2"/>
    </row>
    <row r="121" spans="1:12" ht="15" x14ac:dyDescent="0.25">
      <c r="A121" s="15"/>
      <c r="B121" s="15"/>
      <c r="C121" s="131"/>
      <c r="D121" s="136"/>
      <c r="E121" s="136"/>
      <c r="F121" s="136"/>
      <c r="G121" s="136"/>
      <c r="H121" s="136"/>
      <c r="I121" s="136"/>
      <c r="J121" s="2"/>
      <c r="K121" s="2"/>
      <c r="L121" s="2"/>
    </row>
    <row r="122" spans="1:12" ht="15" x14ac:dyDescent="0.25">
      <c r="A122" s="15"/>
      <c r="B122" s="15"/>
      <c r="C122" s="131"/>
      <c r="D122" s="131"/>
      <c r="E122" s="131"/>
      <c r="F122" s="131"/>
      <c r="G122" s="131"/>
      <c r="H122" s="131"/>
      <c r="I122" s="131"/>
      <c r="J122" s="2"/>
      <c r="K122" s="2"/>
      <c r="L122" s="2"/>
    </row>
    <row r="123" spans="1:12" ht="15" x14ac:dyDescent="0.25">
      <c r="A123" s="15"/>
      <c r="B123" s="15"/>
      <c r="C123" s="131"/>
      <c r="D123" s="131"/>
      <c r="E123" s="131"/>
      <c r="F123" s="131"/>
      <c r="G123" s="131"/>
      <c r="H123" s="131"/>
      <c r="I123" s="131"/>
      <c r="J123" s="2"/>
      <c r="K123" s="2"/>
      <c r="L123" s="2"/>
    </row>
    <row r="124" spans="1:12" ht="15" x14ac:dyDescent="0.25">
      <c r="A124" s="15"/>
      <c r="B124" s="15"/>
      <c r="C124" s="131"/>
      <c r="D124" s="131"/>
      <c r="E124" s="131"/>
      <c r="F124" s="136"/>
      <c r="G124" s="136"/>
      <c r="H124" s="136"/>
      <c r="I124" s="136"/>
      <c r="J124" s="2"/>
      <c r="K124" s="2"/>
      <c r="L124" s="2"/>
    </row>
    <row r="125" spans="1:12" ht="15" x14ac:dyDescent="0.25">
      <c r="A125" s="15"/>
      <c r="B125" s="15"/>
      <c r="C125" s="131"/>
      <c r="D125" s="131"/>
      <c r="E125" s="131"/>
      <c r="F125" s="136"/>
      <c r="G125" s="136"/>
      <c r="H125" s="136"/>
      <c r="I125" s="136"/>
      <c r="J125" s="2"/>
      <c r="K125" s="2"/>
      <c r="L125" s="2"/>
    </row>
    <row r="126" spans="1:12" ht="15" x14ac:dyDescent="0.25">
      <c r="A126" s="15"/>
      <c r="B126" s="15"/>
      <c r="C126" s="131"/>
      <c r="D126" s="131"/>
      <c r="E126" s="131"/>
      <c r="F126" s="136"/>
      <c r="G126" s="136"/>
      <c r="H126" s="136"/>
      <c r="I126" s="136"/>
      <c r="J126" s="2"/>
      <c r="K126" s="2"/>
      <c r="L126" s="2"/>
    </row>
    <row r="127" spans="1:12" ht="15" x14ac:dyDescent="0.25">
      <c r="A127" s="15"/>
      <c r="B127" s="15"/>
      <c r="C127" s="136"/>
      <c r="D127" s="136"/>
      <c r="E127" s="136"/>
      <c r="F127" s="136"/>
      <c r="G127" s="136"/>
      <c r="H127" s="136"/>
      <c r="I127" s="136"/>
      <c r="J127" s="2"/>
      <c r="K127" s="2"/>
      <c r="L127" s="2"/>
    </row>
    <row r="128" spans="1:12" ht="15" x14ac:dyDescent="0.25">
      <c r="A128" s="14"/>
      <c r="B128" s="14"/>
      <c r="C128" s="136"/>
      <c r="D128" s="136"/>
      <c r="E128" s="136"/>
      <c r="F128" s="136"/>
      <c r="G128" s="136"/>
      <c r="H128" s="136"/>
      <c r="I128" s="136"/>
      <c r="J128" s="2"/>
      <c r="K128" s="2"/>
      <c r="L128" s="2"/>
    </row>
    <row r="129" spans="1:12" ht="15" x14ac:dyDescent="0.25">
      <c r="A129" s="15"/>
      <c r="B129" s="15"/>
      <c r="C129" s="136"/>
      <c r="D129" s="136"/>
      <c r="E129" s="136"/>
      <c r="F129" s="136"/>
      <c r="G129" s="136"/>
      <c r="H129" s="136"/>
      <c r="I129" s="136"/>
      <c r="J129" s="2"/>
      <c r="K129" s="2"/>
      <c r="L129" s="2"/>
    </row>
    <row r="130" spans="1:12" ht="15" x14ac:dyDescent="0.25">
      <c r="A130" s="15"/>
      <c r="B130" s="15"/>
      <c r="C130" s="136"/>
      <c r="D130" s="136"/>
      <c r="E130" s="136"/>
      <c r="F130" s="136"/>
      <c r="G130" s="136"/>
      <c r="H130" s="136"/>
      <c r="I130" s="136"/>
      <c r="J130" s="2"/>
      <c r="K130" s="2"/>
      <c r="L130" s="2"/>
    </row>
    <row r="131" spans="1:12" ht="15" x14ac:dyDescent="0.25">
      <c r="A131" s="15"/>
      <c r="B131" s="15"/>
      <c r="C131" s="136"/>
      <c r="D131" s="136"/>
      <c r="E131" s="136"/>
      <c r="F131" s="136"/>
      <c r="G131" s="136"/>
      <c r="H131" s="136"/>
      <c r="I131" s="136"/>
      <c r="J131" s="2"/>
      <c r="K131" s="2"/>
      <c r="L131" s="2"/>
    </row>
    <row r="132" spans="1:12" ht="15" x14ac:dyDescent="0.25">
      <c r="A132" s="15"/>
      <c r="B132" s="15"/>
      <c r="C132" s="136"/>
      <c r="D132" s="136"/>
      <c r="E132" s="136"/>
      <c r="F132" s="136"/>
      <c r="G132" s="136"/>
      <c r="H132" s="136"/>
      <c r="I132" s="136"/>
      <c r="J132" s="2"/>
      <c r="K132" s="2"/>
      <c r="L132" s="2"/>
    </row>
    <row r="133" spans="1:12" ht="15" x14ac:dyDescent="0.25">
      <c r="A133" s="15"/>
      <c r="B133" s="15"/>
      <c r="C133" s="136"/>
      <c r="D133" s="136"/>
      <c r="E133" s="136"/>
      <c r="F133" s="136"/>
      <c r="G133" s="136"/>
      <c r="H133" s="136"/>
      <c r="I133" s="136"/>
      <c r="J133" s="2"/>
      <c r="K133" s="2"/>
      <c r="L133" s="2"/>
    </row>
    <row r="134" spans="1:12" ht="15" x14ac:dyDescent="0.25">
      <c r="A134" s="15"/>
      <c r="B134" s="15"/>
      <c r="C134" s="136"/>
      <c r="D134" s="136"/>
      <c r="E134" s="136"/>
      <c r="F134" s="136"/>
      <c r="G134" s="136"/>
      <c r="H134" s="136"/>
      <c r="I134" s="136"/>
      <c r="J134" s="2"/>
      <c r="K134" s="2"/>
      <c r="L134" s="2"/>
    </row>
    <row r="135" spans="1:12" ht="15" x14ac:dyDescent="0.25">
      <c r="A135" s="15"/>
      <c r="B135" s="15"/>
      <c r="C135" s="136"/>
      <c r="D135" s="136"/>
      <c r="E135" s="136"/>
      <c r="F135" s="136"/>
      <c r="G135" s="136"/>
      <c r="H135" s="136"/>
      <c r="I135" s="136"/>
      <c r="J135" s="2"/>
      <c r="K135" s="2"/>
      <c r="L135" s="2"/>
    </row>
    <row r="136" spans="1:12" ht="15" x14ac:dyDescent="0.25">
      <c r="A136" s="15"/>
      <c r="B136" s="15"/>
      <c r="C136" s="136"/>
      <c r="D136" s="136"/>
      <c r="E136" s="136"/>
      <c r="F136" s="136"/>
      <c r="G136" s="136"/>
      <c r="H136" s="136"/>
      <c r="I136" s="136"/>
      <c r="J136" s="2"/>
      <c r="K136" s="2"/>
      <c r="L136" s="2"/>
    </row>
    <row r="137" spans="1:12" ht="15" x14ac:dyDescent="0.25">
      <c r="A137" s="15"/>
      <c r="B137" s="15"/>
      <c r="C137" s="136"/>
      <c r="D137" s="136"/>
      <c r="E137" s="136"/>
      <c r="F137" s="136"/>
      <c r="G137" s="136"/>
      <c r="H137" s="136"/>
      <c r="I137" s="136"/>
      <c r="J137" s="2"/>
      <c r="K137" s="2"/>
      <c r="L137" s="2"/>
    </row>
    <row r="138" spans="1:12" ht="15" x14ac:dyDescent="0.25">
      <c r="A138" s="15"/>
      <c r="B138" s="15"/>
      <c r="C138" s="136"/>
      <c r="D138" s="136"/>
      <c r="E138" s="136"/>
      <c r="F138" s="136"/>
      <c r="G138" s="136"/>
      <c r="H138" s="136"/>
      <c r="I138" s="136"/>
      <c r="J138" s="2"/>
      <c r="K138" s="2"/>
      <c r="L138" s="2"/>
    </row>
    <row r="139" spans="1:12" ht="15" x14ac:dyDescent="0.25">
      <c r="A139" s="15"/>
      <c r="B139" s="15"/>
      <c r="C139" s="131"/>
      <c r="D139" s="131"/>
      <c r="E139" s="131"/>
      <c r="F139" s="131"/>
      <c r="G139" s="131"/>
      <c r="H139" s="131"/>
      <c r="I139" s="2"/>
      <c r="J139" s="2"/>
      <c r="K139" s="2"/>
      <c r="L139" s="2"/>
    </row>
    <row r="140" spans="1:12" ht="15" x14ac:dyDescent="0.25">
      <c r="A140" s="15"/>
      <c r="B140" s="15"/>
      <c r="C140" s="131"/>
      <c r="D140" s="131"/>
      <c r="E140" s="131"/>
      <c r="F140" s="131"/>
      <c r="G140" s="131"/>
      <c r="H140" s="131"/>
      <c r="I140" s="2"/>
      <c r="J140" s="2"/>
      <c r="K140" s="2"/>
      <c r="L140" s="2"/>
    </row>
    <row r="141" spans="1:12" ht="15" x14ac:dyDescent="0.25">
      <c r="A141" s="15"/>
      <c r="B141" s="15"/>
      <c r="C141" s="131"/>
      <c r="D141" s="131"/>
      <c r="E141" s="131"/>
      <c r="F141" s="131"/>
      <c r="G141" s="131"/>
      <c r="H141" s="131"/>
      <c r="I141" s="2"/>
      <c r="J141" s="2"/>
      <c r="K141" s="2"/>
      <c r="L141" s="2"/>
    </row>
    <row r="142" spans="1:12" x14ac:dyDescent="0.2">
      <c r="D142" s="2"/>
      <c r="E142" s="2"/>
      <c r="F142" s="2"/>
      <c r="G142" s="2"/>
      <c r="H142" s="2"/>
      <c r="I142" s="2"/>
      <c r="J142" s="2"/>
      <c r="K142" s="2"/>
      <c r="L142" s="2"/>
    </row>
    <row r="143" spans="1:12" ht="15" x14ac:dyDescent="0.25">
      <c r="A143" s="15"/>
      <c r="B143" s="15"/>
      <c r="C143" s="131"/>
      <c r="D143" s="2"/>
      <c r="E143" s="2"/>
      <c r="F143" s="2"/>
      <c r="G143" s="2"/>
      <c r="H143" s="2"/>
      <c r="I143" s="2"/>
      <c r="J143" s="2"/>
      <c r="K143" s="2"/>
      <c r="L143" s="2"/>
    </row>
    <row r="144" spans="1:12" x14ac:dyDescent="0.2">
      <c r="A144" s="2"/>
      <c r="B144" s="2"/>
      <c r="C144" s="12"/>
      <c r="D144" s="2"/>
      <c r="E144" s="2"/>
      <c r="F144" s="2"/>
      <c r="G144" s="2"/>
      <c r="H144" s="2"/>
      <c r="I144" s="2"/>
      <c r="J144" s="2"/>
      <c r="K144" s="2"/>
      <c r="L144" s="2"/>
    </row>
    <row r="145" spans="1:13" x14ac:dyDescent="0.2">
      <c r="A145" s="2"/>
      <c r="B145" s="2"/>
      <c r="C145" s="2"/>
      <c r="D145" s="12"/>
      <c r="E145" s="9"/>
      <c r="F145" s="2"/>
      <c r="G145" s="2"/>
      <c r="H145" s="2"/>
      <c r="I145" s="2"/>
      <c r="J145" s="2"/>
      <c r="K145" s="2"/>
      <c r="L145" s="2"/>
    </row>
    <row r="146" spans="1:13" x14ac:dyDescent="0.2">
      <c r="A146" s="2"/>
      <c r="B146" s="2"/>
      <c r="C146" s="2"/>
      <c r="D146" s="168"/>
      <c r="E146" s="168"/>
      <c r="F146" s="2"/>
      <c r="G146" s="2"/>
      <c r="H146" s="178"/>
      <c r="I146" s="2"/>
      <c r="J146" s="2"/>
      <c r="K146" s="2"/>
      <c r="L146" s="2"/>
    </row>
    <row r="147" spans="1:13" x14ac:dyDescent="0.2">
      <c r="A147" s="2"/>
      <c r="B147" s="2"/>
      <c r="C147" s="167"/>
      <c r="D147" s="169"/>
      <c r="E147" s="169"/>
      <c r="F147" s="2"/>
      <c r="G147" s="2"/>
      <c r="H147" s="12"/>
      <c r="I147" s="2"/>
      <c r="J147" s="2"/>
      <c r="K147" s="2"/>
      <c r="L147" s="12"/>
    </row>
    <row r="148" spans="1:13" x14ac:dyDescent="0.2">
      <c r="A148" s="2"/>
      <c r="B148" s="2"/>
      <c r="C148" s="167"/>
      <c r="D148" s="169"/>
      <c r="E148" s="169"/>
      <c r="F148" s="2"/>
      <c r="G148" s="2"/>
      <c r="H148" s="175"/>
      <c r="I148" s="175"/>
      <c r="J148" s="176"/>
      <c r="K148" s="170"/>
      <c r="L148" s="175"/>
      <c r="M148" s="176"/>
    </row>
    <row r="149" spans="1:13" x14ac:dyDescent="0.2">
      <c r="A149" s="2"/>
      <c r="B149" s="2"/>
      <c r="C149" s="2"/>
      <c r="D149" s="2"/>
      <c r="E149" s="2"/>
      <c r="F149" s="2"/>
      <c r="G149" s="2"/>
      <c r="H149" s="171"/>
      <c r="I149" s="173"/>
      <c r="J149" s="174"/>
      <c r="K149" s="170"/>
      <c r="L149" s="173"/>
      <c r="M149" s="177"/>
    </row>
    <row r="150" spans="1:13" x14ac:dyDescent="0.2">
      <c r="A150" s="2"/>
      <c r="B150" s="2"/>
      <c r="C150" s="2"/>
      <c r="D150" s="12"/>
      <c r="E150" s="9"/>
      <c r="F150" s="2"/>
      <c r="G150" s="2"/>
      <c r="H150" s="171"/>
      <c r="I150" s="173"/>
      <c r="J150" s="174"/>
      <c r="K150" s="170"/>
      <c r="L150" s="173"/>
      <c r="M150" s="177"/>
    </row>
    <row r="151" spans="1:13" x14ac:dyDescent="0.2">
      <c r="A151" s="2"/>
      <c r="B151" s="2"/>
      <c r="C151" s="2"/>
      <c r="D151" s="168"/>
      <c r="E151" s="168"/>
      <c r="F151" s="2"/>
      <c r="G151" s="2"/>
      <c r="H151" s="171"/>
      <c r="I151" s="173"/>
      <c r="J151" s="174"/>
      <c r="K151" s="170"/>
      <c r="L151" s="173"/>
      <c r="M151" s="177"/>
    </row>
    <row r="152" spans="1:13" x14ac:dyDescent="0.2">
      <c r="A152" s="2"/>
      <c r="B152" s="2"/>
      <c r="C152" s="167"/>
      <c r="D152" s="169"/>
      <c r="E152" s="169"/>
      <c r="F152" s="2"/>
      <c r="G152" s="2"/>
      <c r="H152" s="172"/>
      <c r="I152" s="173"/>
      <c r="J152" s="174"/>
      <c r="K152" s="170"/>
      <c r="L152" s="173"/>
      <c r="M152" s="177"/>
    </row>
    <row r="153" spans="1:13" x14ac:dyDescent="0.2">
      <c r="A153" s="2"/>
      <c r="B153" s="2"/>
      <c r="C153" s="167"/>
      <c r="D153" s="169"/>
      <c r="E153" s="169"/>
      <c r="F153" s="2"/>
      <c r="G153" s="2"/>
      <c r="H153" s="172"/>
      <c r="I153" s="173"/>
      <c r="J153" s="174"/>
      <c r="K153" s="170"/>
      <c r="L153" s="173"/>
      <c r="M153" s="177"/>
    </row>
    <row r="154" spans="1:13" x14ac:dyDescent="0.2">
      <c r="A154" s="2"/>
      <c r="B154" s="2"/>
      <c r="C154" s="2"/>
      <c r="D154" s="2"/>
      <c r="E154" s="2"/>
      <c r="F154" s="2"/>
      <c r="G154" s="2"/>
      <c r="H154" s="172"/>
      <c r="I154" s="173"/>
      <c r="J154" s="174"/>
      <c r="K154" s="170"/>
      <c r="L154" s="173"/>
      <c r="M154" s="177"/>
    </row>
    <row r="155" spans="1:13" x14ac:dyDescent="0.2">
      <c r="A155" s="2"/>
      <c r="B155" s="2"/>
      <c r="C155" s="2"/>
      <c r="D155" s="12"/>
      <c r="E155" s="9"/>
      <c r="F155" s="2"/>
      <c r="G155" s="2"/>
      <c r="H155" s="172"/>
      <c r="I155" s="173"/>
      <c r="J155" s="174"/>
      <c r="K155" s="170"/>
      <c r="L155" s="173"/>
      <c r="M155" s="177"/>
    </row>
    <row r="156" spans="1:13" x14ac:dyDescent="0.2">
      <c r="A156" s="2"/>
      <c r="B156" s="2"/>
      <c r="C156" s="2"/>
      <c r="D156" s="168"/>
      <c r="E156" s="168"/>
      <c r="F156" s="2"/>
      <c r="G156" s="2"/>
      <c r="H156" s="172"/>
      <c r="I156" s="173"/>
      <c r="J156" s="174"/>
      <c r="K156" s="170"/>
      <c r="L156" s="173"/>
      <c r="M156" s="177"/>
    </row>
    <row r="157" spans="1:13" x14ac:dyDescent="0.2">
      <c r="A157" s="2"/>
      <c r="B157" s="2"/>
      <c r="C157" s="167"/>
      <c r="D157" s="169"/>
      <c r="E157" s="169"/>
      <c r="F157" s="2"/>
      <c r="G157" s="2"/>
      <c r="H157" s="172"/>
      <c r="I157" s="173"/>
      <c r="J157" s="174"/>
      <c r="K157" s="170"/>
      <c r="L157" s="173"/>
      <c r="M157" s="177"/>
    </row>
    <row r="158" spans="1:13" x14ac:dyDescent="0.2">
      <c r="A158" s="2"/>
      <c r="B158" s="2"/>
      <c r="C158" s="167"/>
      <c r="D158" s="169"/>
      <c r="E158" s="169"/>
      <c r="F158" s="2"/>
      <c r="G158" s="2"/>
      <c r="H158" s="172"/>
      <c r="I158" s="173"/>
      <c r="J158" s="174"/>
      <c r="K158" s="2"/>
      <c r="L158" s="173"/>
      <c r="M158" s="177"/>
    </row>
    <row r="159" spans="1:13" x14ac:dyDescent="0.2">
      <c r="A159" s="2"/>
      <c r="B159" s="2"/>
      <c r="C159" s="2"/>
      <c r="D159" s="2"/>
      <c r="E159" s="2"/>
      <c r="F159" s="2"/>
      <c r="G159" s="2"/>
      <c r="H159" s="172"/>
      <c r="I159" s="173"/>
      <c r="J159" s="174"/>
      <c r="L159" s="173"/>
      <c r="M159" s="177"/>
    </row>
    <row r="160" spans="1:13" x14ac:dyDescent="0.2">
      <c r="A160" s="2"/>
      <c r="B160" s="2"/>
      <c r="C160" s="2"/>
      <c r="D160" s="12"/>
      <c r="E160" s="2"/>
      <c r="F160" s="2"/>
      <c r="G160" s="2"/>
      <c r="H160" s="2"/>
      <c r="J160" s="2"/>
      <c r="K160" s="2"/>
      <c r="L160" s="2"/>
    </row>
    <row r="161" spans="1:12" x14ac:dyDescent="0.2">
      <c r="A161" s="2"/>
      <c r="B161" s="2"/>
      <c r="C161" s="2"/>
      <c r="D161" s="1"/>
      <c r="E161" s="128"/>
      <c r="F161" s="127"/>
      <c r="G161" s="1"/>
      <c r="H161" s="2"/>
      <c r="I161" s="2"/>
      <c r="J161" s="2"/>
      <c r="K161" s="2"/>
      <c r="L161" s="2"/>
    </row>
    <row r="162" spans="1:12" x14ac:dyDescent="0.2">
      <c r="A162" s="2"/>
      <c r="B162" s="2"/>
      <c r="C162" s="2"/>
      <c r="D162" s="1"/>
      <c r="E162" s="127"/>
      <c r="F162" s="127"/>
      <c r="G162" s="1"/>
      <c r="H162" s="2"/>
      <c r="I162" s="2"/>
      <c r="J162" s="2"/>
      <c r="K162" s="2"/>
      <c r="L162" s="2"/>
    </row>
    <row r="163" spans="1:12" x14ac:dyDescent="0.2">
      <c r="A163" s="2"/>
      <c r="B163" s="2"/>
      <c r="C163" s="2"/>
      <c r="D163" s="1"/>
      <c r="E163" s="127"/>
      <c r="F163" s="127"/>
      <c r="G163" s="1"/>
      <c r="H163" s="2"/>
      <c r="I163" s="2"/>
      <c r="J163" s="2"/>
      <c r="K163" s="2"/>
      <c r="L163" s="2"/>
    </row>
    <row r="164" spans="1:12" x14ac:dyDescent="0.2">
      <c r="A164" s="2"/>
      <c r="B164" s="2"/>
      <c r="C164" s="2"/>
      <c r="D164" s="128"/>
      <c r="E164" s="192"/>
      <c r="F164" s="192"/>
      <c r="G164" s="192"/>
      <c r="H164" s="2"/>
      <c r="I164" s="2"/>
      <c r="J164" s="2"/>
      <c r="K164" s="2"/>
      <c r="L164" s="2"/>
    </row>
    <row r="165" spans="1:12" x14ac:dyDescent="0.2">
      <c r="A165" s="2"/>
      <c r="B165" s="2"/>
      <c r="C165" s="2"/>
      <c r="D165" s="128"/>
      <c r="E165" s="192"/>
      <c r="F165" s="192"/>
      <c r="G165" s="192"/>
      <c r="H165" s="2"/>
      <c r="I165" s="2"/>
      <c r="J165" s="2"/>
      <c r="K165" s="2"/>
      <c r="L165" s="2"/>
    </row>
    <row r="166" spans="1:12" x14ac:dyDescent="0.2">
      <c r="A166" s="2"/>
      <c r="B166" s="2"/>
      <c r="C166" s="2"/>
      <c r="D166" s="128"/>
      <c r="E166" s="192"/>
      <c r="F166" s="192"/>
      <c r="G166" s="192"/>
      <c r="H166" s="2"/>
      <c r="I166" s="2"/>
      <c r="J166" s="2"/>
      <c r="K166" s="2"/>
      <c r="L166" s="2"/>
    </row>
    <row r="167" spans="1:12" x14ac:dyDescent="0.2">
      <c r="A167" s="2"/>
      <c r="B167" s="2"/>
      <c r="C167" s="2"/>
      <c r="D167" s="2"/>
      <c r="E167" s="2"/>
      <c r="F167" s="2"/>
      <c r="G167" s="2"/>
      <c r="H167" s="2"/>
      <c r="I167" s="2"/>
      <c r="J167" s="2"/>
      <c r="K167" s="2"/>
      <c r="L167" s="2"/>
    </row>
    <row r="168" spans="1:12" x14ac:dyDescent="0.2">
      <c r="A168" s="2"/>
      <c r="B168" s="2"/>
      <c r="C168" s="2"/>
      <c r="D168" s="2"/>
      <c r="E168" s="2"/>
      <c r="F168" s="2"/>
      <c r="G168" s="2"/>
      <c r="H168" s="2"/>
      <c r="I168" s="2"/>
      <c r="J168" s="2"/>
      <c r="K168" s="2"/>
      <c r="L168" s="2"/>
    </row>
    <row r="169" spans="1:12" x14ac:dyDescent="0.2">
      <c r="A169" s="2"/>
      <c r="B169" s="2"/>
      <c r="C169" s="2"/>
      <c r="D169" s="2"/>
      <c r="E169" s="2"/>
      <c r="F169" s="2"/>
      <c r="G169" s="2"/>
      <c r="H169" s="2"/>
      <c r="I169" s="2"/>
      <c r="J169" s="2"/>
      <c r="K169" s="2"/>
      <c r="L169" s="2"/>
    </row>
    <row r="170" spans="1:12" x14ac:dyDescent="0.2">
      <c r="A170" s="2"/>
      <c r="B170" s="2"/>
      <c r="C170" s="2"/>
      <c r="D170" s="2"/>
      <c r="E170" s="2"/>
      <c r="F170" s="2"/>
      <c r="G170" s="2"/>
      <c r="H170" s="2"/>
      <c r="I170" s="2"/>
      <c r="J170" s="2"/>
      <c r="K170" s="2"/>
      <c r="L170" s="2"/>
    </row>
    <row r="171" spans="1:12" x14ac:dyDescent="0.2">
      <c r="A171" s="2"/>
      <c r="B171" s="2"/>
      <c r="C171" s="2"/>
      <c r="D171" s="2"/>
      <c r="E171" s="2"/>
      <c r="F171" s="2"/>
      <c r="G171" s="2"/>
      <c r="H171" s="2"/>
      <c r="I171" s="2"/>
      <c r="J171" s="2"/>
      <c r="K171" s="2"/>
      <c r="L171" s="2"/>
    </row>
    <row r="172" spans="1:12" x14ac:dyDescent="0.2">
      <c r="A172" s="2"/>
      <c r="B172" s="2"/>
      <c r="C172" s="2"/>
      <c r="D172" s="2"/>
      <c r="E172" s="2"/>
      <c r="F172" s="2"/>
      <c r="G172" s="2"/>
      <c r="H172" s="2"/>
      <c r="I172" s="2"/>
      <c r="J172" s="2"/>
      <c r="K172" s="2"/>
      <c r="L172" s="2"/>
    </row>
    <row r="173" spans="1:12" x14ac:dyDescent="0.2">
      <c r="A173" s="2"/>
      <c r="B173" s="2"/>
      <c r="C173" s="2"/>
      <c r="D173" s="2"/>
      <c r="E173" s="2"/>
      <c r="F173" s="2"/>
      <c r="G173" s="2"/>
      <c r="H173" s="2"/>
      <c r="I173" s="2"/>
      <c r="J173" s="2"/>
      <c r="K173" s="2"/>
      <c r="L173" s="2"/>
    </row>
    <row r="174" spans="1:12" x14ac:dyDescent="0.2">
      <c r="A174" s="2"/>
      <c r="B174" s="2"/>
      <c r="C174" s="2"/>
      <c r="D174" s="2"/>
      <c r="E174" s="2"/>
      <c r="F174" s="2"/>
      <c r="G174" s="2"/>
      <c r="H174" s="2"/>
      <c r="I174" s="2"/>
      <c r="J174" s="2"/>
      <c r="K174" s="2"/>
      <c r="L174" s="2"/>
    </row>
    <row r="175" spans="1:12" x14ac:dyDescent="0.2">
      <c r="A175" s="2"/>
      <c r="B175" s="2"/>
      <c r="C175" s="26"/>
      <c r="D175" s="193"/>
      <c r="E175" s="193"/>
      <c r="F175" s="2"/>
      <c r="G175" s="2"/>
      <c r="H175" s="2"/>
      <c r="I175" s="2"/>
      <c r="J175" s="2"/>
      <c r="K175" s="2"/>
      <c r="L175" s="2"/>
    </row>
    <row r="176" spans="1:12" x14ac:dyDescent="0.2">
      <c r="A176" s="2"/>
      <c r="B176" s="2"/>
      <c r="C176" s="26"/>
      <c r="D176" s="194"/>
      <c r="E176" s="194"/>
      <c r="F176" s="2"/>
      <c r="G176" s="2"/>
      <c r="H176" s="2"/>
      <c r="I176" s="2"/>
      <c r="J176" s="2"/>
      <c r="K176" s="2"/>
      <c r="L176" s="2"/>
    </row>
    <row r="177" spans="1:12" x14ac:dyDescent="0.2">
      <c r="A177" s="2"/>
      <c r="B177" s="2"/>
      <c r="C177" s="195"/>
      <c r="D177" s="196"/>
      <c r="E177" s="196"/>
      <c r="F177" s="2"/>
      <c r="G177" s="2"/>
      <c r="H177" s="2"/>
      <c r="I177" s="2"/>
      <c r="J177" s="2"/>
      <c r="K177" s="2"/>
      <c r="L177" s="2"/>
    </row>
    <row r="178" spans="1:12" x14ac:dyDescent="0.2">
      <c r="A178" s="2"/>
      <c r="B178" s="2"/>
      <c r="C178" s="90"/>
      <c r="D178" s="192"/>
      <c r="E178" s="192"/>
      <c r="F178" s="2"/>
      <c r="G178" s="2"/>
      <c r="H178" s="2"/>
      <c r="I178" s="2"/>
      <c r="J178" s="2"/>
      <c r="K178" s="2"/>
      <c r="L178" s="2"/>
    </row>
    <row r="179" spans="1:12" x14ac:dyDescent="0.2">
      <c r="A179" s="2"/>
      <c r="B179" s="2"/>
      <c r="C179" s="90"/>
      <c r="D179" s="192"/>
      <c r="E179" s="192"/>
      <c r="F179" s="2"/>
      <c r="G179" s="2"/>
      <c r="H179" s="2"/>
      <c r="I179" s="2"/>
      <c r="J179" s="2"/>
      <c r="K179" s="2"/>
      <c r="L179" s="2"/>
    </row>
    <row r="180" spans="1:12" x14ac:dyDescent="0.2">
      <c r="A180" s="2"/>
      <c r="B180" s="2"/>
      <c r="C180" s="90"/>
      <c r="D180" s="192"/>
      <c r="E180" s="192"/>
      <c r="F180" s="2"/>
      <c r="G180" s="2"/>
      <c r="H180" s="2"/>
      <c r="I180" s="2"/>
      <c r="J180" s="2"/>
      <c r="K180" s="2"/>
      <c r="L180" s="2"/>
    </row>
    <row r="181" spans="1:12" x14ac:dyDescent="0.2">
      <c r="A181" s="2"/>
      <c r="B181" s="2"/>
      <c r="C181" s="90"/>
      <c r="D181" s="192"/>
      <c r="E181" s="192"/>
      <c r="F181" s="2"/>
      <c r="G181" s="2"/>
      <c r="H181" s="2"/>
      <c r="I181" s="2"/>
      <c r="J181" s="2"/>
      <c r="K181" s="2"/>
      <c r="L181" s="2"/>
    </row>
    <row r="182" spans="1:12" x14ac:dyDescent="0.2">
      <c r="A182" s="2"/>
      <c r="B182" s="2"/>
      <c r="C182" s="90"/>
      <c r="D182" s="192"/>
      <c r="E182" s="192"/>
      <c r="F182" s="2"/>
      <c r="G182" s="2"/>
      <c r="H182" s="2"/>
      <c r="I182" s="2"/>
      <c r="J182" s="2"/>
      <c r="K182" s="2"/>
      <c r="L182" s="2"/>
    </row>
    <row r="183" spans="1:12" x14ac:dyDescent="0.2">
      <c r="A183" s="2"/>
      <c r="B183" s="2"/>
      <c r="C183" s="90"/>
      <c r="D183" s="192"/>
      <c r="E183" s="192"/>
      <c r="F183" s="2"/>
      <c r="G183" s="2"/>
      <c r="H183" s="2"/>
      <c r="I183" s="2"/>
      <c r="J183" s="2"/>
      <c r="K183" s="2"/>
      <c r="L183" s="2"/>
    </row>
    <row r="184" spans="1:12" x14ac:dyDescent="0.2">
      <c r="A184" s="2"/>
      <c r="B184" s="2"/>
      <c r="C184" s="90"/>
      <c r="D184" s="192"/>
      <c r="E184" s="192"/>
      <c r="F184" s="2"/>
      <c r="G184" s="2"/>
      <c r="H184" s="2"/>
      <c r="I184" s="2"/>
      <c r="J184" s="2"/>
      <c r="K184" s="2"/>
      <c r="L184" s="2"/>
    </row>
    <row r="185" spans="1:12" x14ac:dyDescent="0.2">
      <c r="A185" s="2"/>
      <c r="B185" s="2"/>
      <c r="C185" s="90"/>
      <c r="D185" s="192"/>
      <c r="E185" s="192"/>
      <c r="F185" s="2"/>
      <c r="G185" s="2"/>
      <c r="H185" s="2"/>
      <c r="I185" s="2"/>
      <c r="J185" s="2"/>
      <c r="K185" s="2"/>
      <c r="L185" s="2"/>
    </row>
    <row r="186" spans="1:12" x14ac:dyDescent="0.2">
      <c r="A186" s="2"/>
      <c r="B186" s="2"/>
      <c r="C186" s="90"/>
      <c r="D186" s="192"/>
      <c r="E186" s="192"/>
      <c r="F186" s="2"/>
      <c r="G186" s="2"/>
      <c r="H186" s="2"/>
      <c r="I186" s="2"/>
      <c r="J186" s="2"/>
      <c r="K186" s="2"/>
      <c r="L186" s="2"/>
    </row>
    <row r="187" spans="1:12" x14ac:dyDescent="0.2">
      <c r="A187" s="2"/>
      <c r="B187" s="2"/>
      <c r="C187" s="90"/>
      <c r="D187" s="192"/>
      <c r="E187" s="192"/>
      <c r="F187" s="2"/>
      <c r="G187" s="2"/>
      <c r="H187" s="2"/>
      <c r="I187" s="2"/>
      <c r="J187" s="2"/>
      <c r="K187" s="2"/>
      <c r="L187" s="2"/>
    </row>
    <row r="188" spans="1:12" x14ac:dyDescent="0.2">
      <c r="A188" s="2"/>
      <c r="B188" s="2"/>
      <c r="C188" s="2"/>
      <c r="D188" s="2"/>
      <c r="E188" s="2"/>
      <c r="F188" s="2"/>
      <c r="G188" s="2"/>
      <c r="H188" s="2"/>
      <c r="I188" s="2"/>
      <c r="J188" s="2"/>
      <c r="K188" s="2"/>
      <c r="L188" s="2"/>
    </row>
    <row r="189" spans="1:12" x14ac:dyDescent="0.2">
      <c r="A189" s="2"/>
      <c r="B189" s="2"/>
      <c r="C189" s="2"/>
      <c r="D189" s="2"/>
      <c r="E189" s="2"/>
      <c r="F189" s="2"/>
      <c r="G189" s="2"/>
      <c r="H189" s="2"/>
      <c r="I189" s="2"/>
      <c r="J189" s="2"/>
      <c r="K189" s="2"/>
      <c r="L189" s="2"/>
    </row>
    <row r="190" spans="1:12" x14ac:dyDescent="0.2">
      <c r="A190" s="2"/>
      <c r="B190" s="2"/>
      <c r="C190" s="2"/>
      <c r="D190" s="2"/>
      <c r="E190" s="2"/>
      <c r="F190" s="2"/>
      <c r="G190" s="2"/>
      <c r="H190" s="2"/>
      <c r="I190" s="2"/>
      <c r="J190" s="2"/>
      <c r="K190" s="2"/>
      <c r="L190" s="2"/>
    </row>
    <row r="191" spans="1:12" x14ac:dyDescent="0.2">
      <c r="A191" s="2"/>
      <c r="B191" s="2"/>
      <c r="C191" s="2"/>
      <c r="D191" s="2"/>
      <c r="E191" s="2"/>
      <c r="F191" s="2"/>
      <c r="G191" s="2"/>
      <c r="H191" s="2"/>
      <c r="I191" s="2"/>
      <c r="J191" s="2"/>
      <c r="K191" s="2"/>
      <c r="L191" s="2"/>
    </row>
    <row r="192" spans="1:12" x14ac:dyDescent="0.2">
      <c r="A192" s="2"/>
      <c r="B192" s="2"/>
      <c r="C192" s="2"/>
      <c r="D192" s="2"/>
      <c r="E192" s="2"/>
      <c r="F192" s="2"/>
      <c r="G192" s="2"/>
      <c r="H192" s="2"/>
      <c r="I192" s="2"/>
      <c r="J192" s="2"/>
      <c r="K192" s="2"/>
      <c r="L192" s="2"/>
    </row>
    <row r="193" spans="1:12" x14ac:dyDescent="0.2">
      <c r="A193" s="2"/>
      <c r="B193" s="2"/>
      <c r="C193" s="2"/>
      <c r="D193" s="2"/>
      <c r="E193" s="2"/>
      <c r="F193" s="2"/>
      <c r="G193" s="2"/>
      <c r="H193" s="2"/>
      <c r="I193" s="2"/>
      <c r="J193" s="2"/>
      <c r="K193" s="2"/>
      <c r="L193" s="2"/>
    </row>
    <row r="194" spans="1:12" x14ac:dyDescent="0.2">
      <c r="A194" s="2"/>
      <c r="B194" s="2"/>
      <c r="C194" s="2"/>
      <c r="D194" s="2"/>
      <c r="E194" s="2"/>
      <c r="F194" s="2"/>
      <c r="G194" s="2"/>
      <c r="H194" s="2"/>
      <c r="I194" s="2"/>
      <c r="J194" s="2"/>
      <c r="K194" s="2"/>
      <c r="L194" s="2"/>
    </row>
    <row r="195" spans="1:12" x14ac:dyDescent="0.2">
      <c r="A195" s="2"/>
      <c r="B195" s="2"/>
      <c r="C195" s="2"/>
      <c r="D195" s="2"/>
      <c r="E195" s="2"/>
      <c r="F195" s="2"/>
      <c r="G195" s="2"/>
      <c r="H195" s="2"/>
      <c r="I195" s="2"/>
      <c r="J195" s="2"/>
      <c r="K195" s="2"/>
      <c r="L195" s="2"/>
    </row>
    <row r="196" spans="1:12" x14ac:dyDescent="0.2">
      <c r="A196" s="2"/>
      <c r="B196" s="2"/>
      <c r="C196" s="2"/>
      <c r="D196" s="2"/>
      <c r="E196" s="2"/>
      <c r="F196" s="2"/>
      <c r="G196" s="2"/>
      <c r="H196" s="2"/>
      <c r="I196" s="2"/>
      <c r="J196" s="2"/>
      <c r="K196" s="2"/>
      <c r="L196" s="2"/>
    </row>
    <row r="197" spans="1:12" x14ac:dyDescent="0.2">
      <c r="A197" s="2"/>
      <c r="B197" s="2"/>
      <c r="C197" s="2"/>
      <c r="D197" s="2"/>
      <c r="E197" s="2"/>
      <c r="F197" s="2"/>
      <c r="G197" s="2"/>
      <c r="H197" s="2"/>
      <c r="I197" s="2"/>
      <c r="J197" s="2"/>
      <c r="K197" s="2"/>
      <c r="L197" s="2"/>
    </row>
    <row r="198" spans="1:12" x14ac:dyDescent="0.2">
      <c r="A198" s="2"/>
      <c r="B198" s="2"/>
      <c r="C198" s="2"/>
      <c r="D198" s="2"/>
      <c r="E198" s="2"/>
      <c r="F198" s="2"/>
      <c r="G198" s="2"/>
      <c r="H198" s="2"/>
      <c r="I198" s="2"/>
      <c r="J198" s="2"/>
      <c r="K198" s="2"/>
      <c r="L198" s="2"/>
    </row>
    <row r="199" spans="1:12" x14ac:dyDescent="0.2">
      <c r="A199" s="2"/>
      <c r="B199" s="2"/>
      <c r="C199" s="2"/>
      <c r="D199" s="2"/>
      <c r="E199" s="2"/>
      <c r="F199" s="2"/>
      <c r="G199" s="2"/>
      <c r="H199" s="2"/>
      <c r="I199" s="2"/>
      <c r="J199" s="2"/>
      <c r="K199" s="2"/>
      <c r="L199" s="2"/>
    </row>
    <row r="200" spans="1:12" x14ac:dyDescent="0.2">
      <c r="A200" s="2"/>
      <c r="B200" s="2"/>
      <c r="C200" s="2"/>
      <c r="D200" s="2"/>
      <c r="E200" s="2"/>
      <c r="F200" s="2"/>
      <c r="G200" s="2"/>
      <c r="H200" s="2"/>
      <c r="I200" s="2"/>
      <c r="J200" s="2"/>
      <c r="K200" s="2"/>
      <c r="L200" s="2"/>
    </row>
    <row r="201" spans="1:12" x14ac:dyDescent="0.2">
      <c r="A201" s="2"/>
      <c r="B201" s="2"/>
      <c r="C201" s="2"/>
      <c r="D201" s="2"/>
      <c r="E201" s="2"/>
      <c r="F201" s="2"/>
      <c r="G201" s="2"/>
      <c r="H201" s="2"/>
      <c r="I201" s="2"/>
      <c r="J201" s="2"/>
      <c r="K201" s="2"/>
      <c r="L201" s="2"/>
    </row>
    <row r="202" spans="1:12" x14ac:dyDescent="0.2">
      <c r="A202" s="2"/>
      <c r="B202" s="2"/>
      <c r="C202" s="2"/>
      <c r="D202" s="2"/>
      <c r="E202" s="2"/>
      <c r="F202" s="2"/>
      <c r="G202" s="2"/>
      <c r="H202" s="2"/>
      <c r="I202" s="2"/>
      <c r="J202" s="2"/>
      <c r="K202" s="2"/>
      <c r="L202" s="2"/>
    </row>
    <row r="203" spans="1:12" x14ac:dyDescent="0.2">
      <c r="A203" s="2"/>
      <c r="B203" s="2"/>
      <c r="C203" s="2"/>
      <c r="D203" s="2"/>
      <c r="E203" s="2"/>
      <c r="F203" s="2"/>
      <c r="G203" s="2"/>
      <c r="H203" s="2"/>
      <c r="I203" s="2"/>
      <c r="J203" s="2"/>
      <c r="K203" s="2"/>
      <c r="L203" s="2"/>
    </row>
    <row r="204" spans="1:12" x14ac:dyDescent="0.2">
      <c r="A204" s="2"/>
      <c r="B204" s="2"/>
      <c r="C204" s="2"/>
      <c r="D204" s="2"/>
      <c r="E204" s="2"/>
      <c r="F204" s="2"/>
      <c r="G204" s="2"/>
      <c r="H204" s="2"/>
      <c r="I204" s="2"/>
      <c r="J204" s="2"/>
      <c r="K204" s="2"/>
      <c r="L204" s="2"/>
    </row>
    <row r="205" spans="1:12" x14ac:dyDescent="0.2">
      <c r="A205" s="2"/>
      <c r="B205" s="2"/>
      <c r="C205" s="2"/>
      <c r="D205" s="2"/>
      <c r="E205" s="2"/>
      <c r="F205" s="2"/>
      <c r="G205" s="2"/>
      <c r="H205" s="2"/>
      <c r="I205" s="2"/>
      <c r="J205" s="2"/>
      <c r="K205" s="2"/>
      <c r="L205" s="2"/>
    </row>
    <row r="206" spans="1:12" x14ac:dyDescent="0.2">
      <c r="A206" s="2"/>
      <c r="B206" s="2"/>
      <c r="C206" s="2"/>
      <c r="D206" s="2"/>
      <c r="E206" s="2"/>
      <c r="F206" s="2"/>
      <c r="G206" s="2"/>
      <c r="H206" s="2"/>
      <c r="I206" s="2"/>
      <c r="J206" s="2"/>
      <c r="K206" s="2"/>
      <c r="L206" s="2"/>
    </row>
    <row r="207" spans="1:12" x14ac:dyDescent="0.2">
      <c r="A207" s="2"/>
      <c r="B207" s="2"/>
      <c r="C207" s="2"/>
      <c r="D207" s="2"/>
      <c r="E207" s="2"/>
      <c r="F207" s="2"/>
      <c r="G207" s="2"/>
      <c r="H207" s="2"/>
      <c r="I207" s="2"/>
      <c r="J207" s="2"/>
      <c r="K207" s="2"/>
      <c r="L207" s="2"/>
    </row>
    <row r="208" spans="1:12" x14ac:dyDescent="0.2">
      <c r="A208" s="2"/>
      <c r="B208" s="2"/>
      <c r="C208" s="2"/>
      <c r="D208" s="2"/>
      <c r="E208" s="2"/>
      <c r="F208" s="2"/>
      <c r="G208" s="2"/>
      <c r="H208" s="2"/>
      <c r="I208" s="2"/>
      <c r="J208" s="2"/>
      <c r="K208" s="2"/>
      <c r="L208" s="2"/>
    </row>
    <row r="209" spans="1:12" x14ac:dyDescent="0.2">
      <c r="A209" s="2"/>
      <c r="B209" s="2"/>
      <c r="C209" s="2"/>
      <c r="D209" s="2"/>
      <c r="E209" s="2"/>
      <c r="F209" s="2"/>
      <c r="G209" s="2"/>
      <c r="H209" s="2"/>
      <c r="I209" s="2"/>
      <c r="J209" s="2"/>
      <c r="K209" s="2"/>
      <c r="L209" s="2"/>
    </row>
    <row r="210" spans="1:12" x14ac:dyDescent="0.2">
      <c r="A210" s="2"/>
      <c r="B210" s="2"/>
      <c r="C210" s="2"/>
      <c r="D210" s="2"/>
      <c r="E210" s="2"/>
      <c r="F210" s="2"/>
      <c r="G210" s="2"/>
      <c r="H210" s="2"/>
      <c r="I210" s="2"/>
      <c r="J210" s="2"/>
      <c r="K210" s="2"/>
      <c r="L210" s="2"/>
    </row>
    <row r="211" spans="1:12" x14ac:dyDescent="0.2">
      <c r="A211" s="2"/>
      <c r="B211" s="2"/>
      <c r="C211" s="2"/>
      <c r="D211" s="2"/>
      <c r="E211" s="2"/>
      <c r="F211" s="2"/>
      <c r="G211" s="2"/>
      <c r="H211" s="2"/>
      <c r="I211" s="2"/>
      <c r="J211" s="2"/>
      <c r="K211" s="2"/>
      <c r="L211" s="2"/>
    </row>
    <row r="212" spans="1:12" x14ac:dyDescent="0.2">
      <c r="A212" s="2"/>
      <c r="B212" s="2"/>
      <c r="C212" s="2"/>
      <c r="D212" s="2"/>
      <c r="E212" s="2"/>
      <c r="F212" s="2"/>
      <c r="G212" s="2"/>
      <c r="H212" s="2"/>
      <c r="I212" s="2"/>
      <c r="J212" s="2"/>
      <c r="K212" s="2"/>
      <c r="L212" s="2"/>
    </row>
    <row r="213" spans="1:12" x14ac:dyDescent="0.2">
      <c r="A213" s="2"/>
      <c r="B213" s="2"/>
      <c r="C213" s="2"/>
      <c r="D213" s="2"/>
      <c r="E213" s="2"/>
      <c r="F213" s="2"/>
      <c r="G213" s="2"/>
      <c r="H213" s="2"/>
      <c r="I213" s="2"/>
      <c r="J213" s="2"/>
      <c r="K213" s="2"/>
      <c r="L213" s="2"/>
    </row>
    <row r="214" spans="1:12" x14ac:dyDescent="0.2">
      <c r="A214" s="2"/>
      <c r="B214" s="2"/>
      <c r="C214" s="2"/>
      <c r="D214" s="2"/>
      <c r="E214" s="2"/>
      <c r="F214" s="2"/>
      <c r="G214" s="2"/>
      <c r="H214" s="2"/>
      <c r="I214" s="2"/>
      <c r="J214" s="2"/>
      <c r="K214" s="2"/>
      <c r="L214" s="2"/>
    </row>
    <row r="215" spans="1:12" x14ac:dyDescent="0.2">
      <c r="A215" s="2"/>
      <c r="B215" s="2"/>
      <c r="C215" s="2"/>
      <c r="D215" s="2"/>
      <c r="E215" s="2"/>
      <c r="F215" s="2"/>
      <c r="G215" s="2"/>
      <c r="H215" s="2"/>
      <c r="I215" s="2"/>
      <c r="J215" s="2"/>
      <c r="K215" s="2"/>
      <c r="L215" s="2"/>
    </row>
    <row r="216" spans="1:12" x14ac:dyDescent="0.2">
      <c r="A216" s="2"/>
      <c r="B216" s="2"/>
      <c r="C216" s="2"/>
      <c r="D216" s="2"/>
      <c r="E216" s="2"/>
      <c r="F216" s="2"/>
      <c r="G216" s="2"/>
      <c r="H216" s="2"/>
      <c r="I216" s="2"/>
      <c r="J216" s="2"/>
      <c r="K216" s="2"/>
      <c r="L216" s="2"/>
    </row>
    <row r="217" spans="1:12" x14ac:dyDescent="0.2">
      <c r="A217" s="2"/>
      <c r="B217" s="2"/>
      <c r="C217" s="2"/>
      <c r="D217" s="2"/>
      <c r="E217" s="2"/>
      <c r="F217" s="2"/>
      <c r="G217" s="2"/>
      <c r="H217" s="2"/>
      <c r="I217" s="2"/>
      <c r="J217" s="2"/>
      <c r="K217" s="2"/>
      <c r="L217" s="2"/>
    </row>
    <row r="218" spans="1:12" x14ac:dyDescent="0.2">
      <c r="A218" s="2"/>
      <c r="B218" s="2"/>
      <c r="C218" s="2"/>
      <c r="D218" s="2"/>
      <c r="E218" s="2"/>
      <c r="F218" s="2"/>
      <c r="G218" s="2"/>
      <c r="H218" s="2"/>
      <c r="I218" s="2"/>
      <c r="J218" s="2"/>
      <c r="K218" s="2"/>
      <c r="L218" s="2"/>
    </row>
    <row r="219" spans="1:12" x14ac:dyDescent="0.2">
      <c r="A219" s="2"/>
      <c r="B219" s="2"/>
      <c r="C219" s="2"/>
      <c r="D219" s="2"/>
      <c r="E219" s="2"/>
      <c r="F219" s="2"/>
      <c r="G219" s="2"/>
      <c r="H219" s="2"/>
      <c r="I219" s="2"/>
      <c r="J219" s="2"/>
      <c r="K219" s="2"/>
      <c r="L219" s="2"/>
    </row>
    <row r="220" spans="1:12" x14ac:dyDescent="0.2">
      <c r="A220" s="2"/>
      <c r="B220" s="2"/>
      <c r="C220" s="2"/>
      <c r="D220" s="2"/>
      <c r="E220" s="2"/>
      <c r="F220" s="2"/>
      <c r="G220" s="2"/>
      <c r="H220" s="2"/>
      <c r="I220" s="2"/>
      <c r="J220" s="2"/>
      <c r="K220" s="2"/>
      <c r="L220" s="2"/>
    </row>
    <row r="221" spans="1:12" x14ac:dyDescent="0.2">
      <c r="A221" s="2"/>
      <c r="B221" s="2"/>
      <c r="C221" s="2"/>
      <c r="D221" s="2"/>
      <c r="E221" s="2"/>
      <c r="F221" s="2"/>
      <c r="G221" s="2"/>
      <c r="H221" s="2"/>
      <c r="I221" s="2"/>
      <c r="J221" s="2"/>
      <c r="K221" s="2"/>
      <c r="L221" s="2"/>
    </row>
    <row r="222" spans="1:12" x14ac:dyDescent="0.2">
      <c r="A222" s="2"/>
      <c r="B222" s="2"/>
      <c r="C222" s="2"/>
      <c r="D222" s="2"/>
      <c r="E222" s="2"/>
      <c r="F222" s="2"/>
      <c r="G222" s="2"/>
      <c r="H222" s="2"/>
      <c r="I222" s="2"/>
      <c r="J222" s="2"/>
      <c r="K222" s="2"/>
      <c r="L222" s="2"/>
    </row>
    <row r="223" spans="1:12" x14ac:dyDescent="0.2">
      <c r="A223" s="2"/>
      <c r="B223" s="2"/>
      <c r="C223" s="2"/>
      <c r="D223" s="2"/>
      <c r="E223" s="2"/>
      <c r="F223" s="2"/>
      <c r="G223" s="2"/>
      <c r="H223" s="2"/>
      <c r="I223" s="2"/>
      <c r="J223" s="2"/>
      <c r="K223" s="2"/>
      <c r="L223" s="2"/>
    </row>
    <row r="224" spans="1:12" x14ac:dyDescent="0.2">
      <c r="A224" s="2"/>
      <c r="B224" s="2"/>
      <c r="C224" s="2"/>
      <c r="D224" s="2"/>
      <c r="E224" s="2"/>
      <c r="F224" s="2"/>
      <c r="G224" s="2"/>
      <c r="H224" s="2"/>
      <c r="I224" s="2"/>
      <c r="J224" s="2"/>
      <c r="K224" s="2"/>
      <c r="L224" s="2"/>
    </row>
    <row r="225" spans="1:12" x14ac:dyDescent="0.2">
      <c r="A225" s="2"/>
      <c r="B225" s="2"/>
      <c r="C225" s="2"/>
      <c r="D225" s="2"/>
      <c r="E225" s="2"/>
      <c r="F225" s="2"/>
      <c r="G225" s="2"/>
      <c r="H225" s="2"/>
      <c r="I225" s="2"/>
      <c r="J225" s="2"/>
      <c r="K225" s="2"/>
      <c r="L225" s="2"/>
    </row>
    <row r="226" spans="1:12" x14ac:dyDescent="0.2">
      <c r="A226" s="2"/>
      <c r="B226" s="2"/>
      <c r="C226" s="2"/>
      <c r="D226" s="2"/>
      <c r="E226" s="2"/>
      <c r="F226" s="2"/>
      <c r="G226" s="2"/>
      <c r="H226" s="2"/>
      <c r="I226" s="2"/>
      <c r="J226" s="2"/>
      <c r="K226" s="2"/>
      <c r="L226" s="2"/>
    </row>
    <row r="227" spans="1:12" x14ac:dyDescent="0.2">
      <c r="A227" s="2"/>
      <c r="B227" s="2"/>
      <c r="C227" s="2"/>
      <c r="D227" s="2"/>
      <c r="E227" s="2"/>
      <c r="F227" s="2"/>
      <c r="G227" s="2"/>
      <c r="H227" s="2"/>
      <c r="I227" s="2"/>
      <c r="J227" s="2"/>
      <c r="K227" s="2"/>
      <c r="L227" s="2"/>
    </row>
    <row r="228" spans="1:12" x14ac:dyDescent="0.2">
      <c r="A228" s="2"/>
      <c r="B228" s="2"/>
      <c r="C228" s="2"/>
      <c r="D228" s="2"/>
      <c r="E228" s="2"/>
      <c r="F228" s="2"/>
      <c r="G228" s="2"/>
      <c r="H228" s="2"/>
      <c r="I228" s="2"/>
      <c r="J228" s="2"/>
      <c r="K228" s="2"/>
      <c r="L228" s="2"/>
    </row>
    <row r="229" spans="1:12" x14ac:dyDescent="0.2">
      <c r="A229" s="2"/>
      <c r="B229" s="2"/>
      <c r="C229" s="2"/>
      <c r="D229" s="2"/>
      <c r="E229" s="2"/>
      <c r="F229" s="2"/>
      <c r="G229" s="2"/>
      <c r="H229" s="2"/>
      <c r="I229" s="2"/>
      <c r="J229" s="2"/>
      <c r="K229" s="2"/>
      <c r="L229" s="2"/>
    </row>
    <row r="230" spans="1:12" x14ac:dyDescent="0.2">
      <c r="A230" s="2"/>
      <c r="B230" s="2"/>
      <c r="C230" s="2"/>
      <c r="D230" s="2"/>
      <c r="E230" s="2"/>
      <c r="F230" s="2"/>
      <c r="G230" s="2"/>
      <c r="H230" s="2"/>
      <c r="I230" s="2"/>
      <c r="J230" s="2"/>
      <c r="K230" s="2"/>
      <c r="L230" s="2"/>
    </row>
    <row r="231" spans="1:12" x14ac:dyDescent="0.2">
      <c r="A231" s="2"/>
      <c r="B231" s="2"/>
      <c r="C231" s="2"/>
      <c r="D231" s="2"/>
      <c r="E231" s="2"/>
      <c r="F231" s="2"/>
      <c r="G231" s="2"/>
      <c r="H231" s="2"/>
      <c r="I231" s="2"/>
      <c r="J231" s="2"/>
      <c r="K231" s="2"/>
      <c r="L231" s="2"/>
    </row>
    <row r="232" spans="1:12" x14ac:dyDescent="0.2">
      <c r="A232" s="2"/>
      <c r="B232" s="2"/>
      <c r="C232" s="2"/>
      <c r="D232" s="2"/>
      <c r="E232" s="2"/>
      <c r="F232" s="2"/>
      <c r="G232" s="2"/>
      <c r="H232" s="2"/>
      <c r="I232" s="2"/>
      <c r="J232" s="2"/>
      <c r="K232" s="2"/>
      <c r="L232" s="2"/>
    </row>
    <row r="233" spans="1:12" x14ac:dyDescent="0.2">
      <c r="A233" s="2"/>
      <c r="B233" s="2"/>
      <c r="C233" s="2"/>
      <c r="D233" s="2"/>
      <c r="E233" s="2"/>
      <c r="F233" s="2"/>
      <c r="G233" s="2"/>
      <c r="H233" s="2"/>
      <c r="I233" s="2"/>
      <c r="J233" s="2"/>
      <c r="K233" s="2"/>
      <c r="L233" s="2"/>
    </row>
    <row r="234" spans="1:12" x14ac:dyDescent="0.2">
      <c r="A234" s="2"/>
      <c r="B234" s="2"/>
      <c r="C234" s="2"/>
      <c r="D234" s="2"/>
      <c r="E234" s="2"/>
      <c r="F234" s="2"/>
      <c r="G234" s="2"/>
      <c r="H234" s="2"/>
      <c r="I234" s="2"/>
      <c r="J234" s="2"/>
      <c r="K234" s="2"/>
      <c r="L234" s="2"/>
    </row>
    <row r="235" spans="1:12" x14ac:dyDescent="0.2">
      <c r="A235" s="2"/>
      <c r="B235" s="2"/>
      <c r="C235" s="2"/>
      <c r="D235" s="2"/>
      <c r="E235" s="2"/>
      <c r="F235" s="2"/>
      <c r="G235" s="2"/>
      <c r="H235" s="2"/>
      <c r="I235" s="2"/>
      <c r="J235" s="2"/>
      <c r="K235" s="2"/>
      <c r="L235" s="2"/>
    </row>
    <row r="236" spans="1:12" x14ac:dyDescent="0.2">
      <c r="A236" s="2"/>
      <c r="B236" s="2"/>
      <c r="C236" s="2"/>
      <c r="D236" s="2"/>
      <c r="E236" s="2"/>
      <c r="F236" s="2"/>
      <c r="G236" s="2"/>
      <c r="H236" s="2"/>
      <c r="I236" s="2"/>
      <c r="J236" s="2"/>
      <c r="K236" s="2"/>
      <c r="L236" s="2"/>
    </row>
    <row r="237" spans="1:12" x14ac:dyDescent="0.2">
      <c r="A237" s="2"/>
      <c r="B237" s="2"/>
      <c r="C237" s="2"/>
      <c r="D237" s="2"/>
      <c r="E237" s="2"/>
      <c r="F237" s="2"/>
      <c r="G237" s="2"/>
      <c r="H237" s="2"/>
      <c r="I237" s="2"/>
      <c r="J237" s="2"/>
      <c r="K237" s="2"/>
      <c r="L237" s="2"/>
    </row>
    <row r="238" spans="1:12" x14ac:dyDescent="0.2">
      <c r="A238" s="2"/>
      <c r="B238" s="2"/>
      <c r="C238" s="2"/>
      <c r="D238" s="2"/>
      <c r="E238" s="2"/>
      <c r="F238" s="2"/>
      <c r="G238" s="2"/>
      <c r="H238" s="2"/>
      <c r="I238" s="2"/>
      <c r="J238" s="2"/>
      <c r="K238" s="2"/>
      <c r="L238" s="2"/>
    </row>
    <row r="239" spans="1:12" x14ac:dyDescent="0.2">
      <c r="A239" s="2"/>
      <c r="B239" s="2"/>
      <c r="C239" s="2"/>
      <c r="D239" s="2"/>
      <c r="E239" s="2"/>
      <c r="F239" s="2"/>
      <c r="G239" s="2"/>
      <c r="H239" s="2"/>
      <c r="I239" s="2"/>
      <c r="J239" s="2"/>
      <c r="K239" s="2"/>
      <c r="L239" s="2"/>
    </row>
    <row r="240" spans="1:12" x14ac:dyDescent="0.2">
      <c r="A240" s="2"/>
      <c r="B240" s="2"/>
      <c r="C240" s="2"/>
      <c r="D240" s="2"/>
      <c r="E240" s="2"/>
      <c r="F240" s="2"/>
      <c r="G240" s="2"/>
      <c r="H240" s="2"/>
      <c r="I240" s="2"/>
      <c r="J240" s="2"/>
      <c r="K240" s="2"/>
      <c r="L240" s="2"/>
    </row>
    <row r="241" spans="1:12" x14ac:dyDescent="0.2">
      <c r="A241" s="2"/>
      <c r="B241" s="2"/>
      <c r="C241" s="2"/>
      <c r="D241" s="2"/>
      <c r="E241" s="2"/>
      <c r="F241" s="2"/>
      <c r="G241" s="2"/>
      <c r="H241" s="2"/>
      <c r="I241" s="2"/>
      <c r="J241" s="2"/>
      <c r="K241" s="2"/>
      <c r="L241" s="2"/>
    </row>
    <row r="242" spans="1:12" x14ac:dyDescent="0.2">
      <c r="A242" s="2"/>
      <c r="B242" s="2"/>
      <c r="C242" s="2"/>
      <c r="D242" s="2"/>
      <c r="E242" s="2"/>
      <c r="F242" s="2"/>
      <c r="G242" s="2"/>
      <c r="H242" s="2"/>
      <c r="I242" s="2"/>
      <c r="J242" s="2"/>
      <c r="K242" s="2"/>
      <c r="L242" s="2"/>
    </row>
    <row r="243" spans="1:12" x14ac:dyDescent="0.2">
      <c r="A243" s="2"/>
      <c r="B243" s="2"/>
      <c r="C243" s="2"/>
      <c r="D243" s="2"/>
      <c r="E243" s="2"/>
      <c r="F243" s="2"/>
      <c r="G243" s="2"/>
      <c r="H243" s="2"/>
      <c r="I243" s="2"/>
      <c r="J243" s="2"/>
      <c r="K243" s="2"/>
      <c r="L243" s="2"/>
    </row>
    <row r="244" spans="1:12" x14ac:dyDescent="0.2">
      <c r="A244" s="2"/>
      <c r="B244" s="2"/>
      <c r="C244" s="2"/>
      <c r="D244" s="2"/>
      <c r="E244" s="2"/>
      <c r="F244" s="2"/>
      <c r="G244" s="2"/>
      <c r="H244" s="2"/>
      <c r="I244" s="2"/>
      <c r="J244" s="2"/>
      <c r="K244" s="2"/>
      <c r="L244" s="2"/>
    </row>
    <row r="245" spans="1:12" x14ac:dyDescent="0.2">
      <c r="A245" s="2"/>
      <c r="B245" s="2"/>
      <c r="C245" s="2"/>
      <c r="D245" s="2"/>
      <c r="E245" s="2"/>
      <c r="F245" s="2"/>
      <c r="G245" s="2"/>
      <c r="H245" s="2"/>
      <c r="I245" s="2"/>
      <c r="J245" s="2"/>
      <c r="K245" s="2"/>
      <c r="L245" s="2"/>
    </row>
    <row r="246" spans="1:12" x14ac:dyDescent="0.2">
      <c r="A246" s="2"/>
      <c r="B246" s="2"/>
      <c r="C246" s="2"/>
      <c r="D246" s="2"/>
      <c r="E246" s="2"/>
      <c r="F246" s="2"/>
      <c r="G246" s="2"/>
      <c r="H246" s="2"/>
      <c r="I246" s="2"/>
      <c r="J246" s="2"/>
      <c r="K246" s="2"/>
      <c r="L246" s="2"/>
    </row>
    <row r="247" spans="1:12" x14ac:dyDescent="0.2">
      <c r="A247" s="2"/>
      <c r="B247" s="2"/>
      <c r="C247" s="2"/>
      <c r="D247" s="2"/>
      <c r="E247" s="2"/>
      <c r="F247" s="2"/>
      <c r="G247" s="2"/>
      <c r="H247" s="2"/>
      <c r="I247" s="2"/>
      <c r="J247" s="2"/>
      <c r="K247" s="2"/>
      <c r="L247" s="2"/>
    </row>
    <row r="248" spans="1:12" x14ac:dyDescent="0.2">
      <c r="A248" s="2"/>
      <c r="B248" s="2"/>
      <c r="C248" s="2"/>
      <c r="D248" s="2"/>
      <c r="E248" s="2"/>
      <c r="F248" s="2"/>
      <c r="G248" s="2"/>
      <c r="H248" s="2"/>
      <c r="I248" s="2"/>
      <c r="J248" s="2"/>
      <c r="K248" s="2"/>
      <c r="L248" s="2"/>
    </row>
    <row r="249" spans="1:12" x14ac:dyDescent="0.2">
      <c r="A249" s="2"/>
      <c r="B249" s="2"/>
      <c r="C249" s="2"/>
      <c r="D249" s="2"/>
      <c r="E249" s="2"/>
      <c r="F249" s="2"/>
      <c r="G249" s="2"/>
      <c r="H249" s="2"/>
      <c r="I249" s="2"/>
      <c r="J249" s="2"/>
      <c r="K249" s="2"/>
      <c r="L249" s="2"/>
    </row>
    <row r="250" spans="1:12" x14ac:dyDescent="0.2">
      <c r="A250" s="2"/>
      <c r="B250" s="2"/>
      <c r="C250" s="2"/>
      <c r="D250" s="2"/>
      <c r="E250" s="2"/>
      <c r="F250" s="2"/>
      <c r="G250" s="2"/>
      <c r="H250" s="2"/>
      <c r="I250" s="2"/>
      <c r="J250" s="2"/>
      <c r="K250" s="2"/>
      <c r="L250" s="2"/>
    </row>
    <row r="251" spans="1:12" x14ac:dyDescent="0.2">
      <c r="A251" s="2"/>
      <c r="B251" s="2"/>
      <c r="C251" s="2"/>
      <c r="D251" s="2"/>
      <c r="E251" s="2"/>
      <c r="F251" s="2"/>
      <c r="G251" s="2"/>
      <c r="H251" s="2"/>
      <c r="I251" s="2"/>
      <c r="J251" s="2"/>
      <c r="K251" s="2"/>
      <c r="L251" s="2"/>
    </row>
    <row r="252" spans="1:12" x14ac:dyDescent="0.2">
      <c r="A252" s="2"/>
      <c r="B252" s="2"/>
      <c r="C252" s="2"/>
      <c r="D252" s="2"/>
      <c r="E252" s="2"/>
      <c r="F252" s="2"/>
      <c r="G252" s="2"/>
      <c r="H252" s="2"/>
      <c r="I252" s="2"/>
      <c r="J252" s="2"/>
      <c r="K252" s="2"/>
      <c r="L252" s="2"/>
    </row>
    <row r="253" spans="1:12" x14ac:dyDescent="0.2">
      <c r="A253" s="2"/>
      <c r="B253" s="2"/>
      <c r="C253" s="2"/>
      <c r="D253" s="2"/>
      <c r="E253" s="2"/>
      <c r="F253" s="2"/>
      <c r="G253" s="2"/>
      <c r="H253" s="2"/>
      <c r="I253" s="2"/>
      <c r="J253" s="2"/>
      <c r="K253" s="2"/>
      <c r="L253" s="2"/>
    </row>
    <row r="254" spans="1:12" x14ac:dyDescent="0.2">
      <c r="A254" s="2"/>
      <c r="B254" s="2"/>
      <c r="C254" s="2"/>
      <c r="D254" s="2"/>
      <c r="E254" s="2"/>
      <c r="F254" s="2"/>
      <c r="G254" s="2"/>
      <c r="H254" s="2"/>
      <c r="I254" s="2"/>
      <c r="J254" s="2"/>
      <c r="K254" s="2"/>
      <c r="L254" s="2"/>
    </row>
    <row r="255" spans="1:12" x14ac:dyDescent="0.2">
      <c r="A255" s="2"/>
      <c r="B255" s="2"/>
      <c r="C255" s="2"/>
      <c r="D255" s="2"/>
      <c r="E255" s="2"/>
      <c r="F255" s="2"/>
      <c r="G255" s="2"/>
      <c r="H255" s="2"/>
      <c r="I255" s="2"/>
      <c r="J255" s="2"/>
      <c r="K255" s="2"/>
      <c r="L255" s="2"/>
    </row>
    <row r="256" spans="1:12" x14ac:dyDescent="0.2">
      <c r="A256" s="2"/>
      <c r="B256" s="2"/>
      <c r="C256" s="2"/>
      <c r="D256" s="2"/>
      <c r="E256" s="2"/>
      <c r="F256" s="2"/>
      <c r="G256" s="2"/>
      <c r="H256" s="2"/>
      <c r="I256" s="2"/>
      <c r="J256" s="2"/>
      <c r="K256" s="2"/>
      <c r="L256" s="2"/>
    </row>
    <row r="257" spans="1:12" x14ac:dyDescent="0.2">
      <c r="A257" s="2"/>
      <c r="B257" s="2"/>
      <c r="C257" s="2"/>
      <c r="D257" s="2"/>
      <c r="E257" s="2"/>
      <c r="F257" s="2"/>
      <c r="G257" s="2"/>
      <c r="H257" s="2"/>
      <c r="I257" s="2"/>
      <c r="J257" s="2"/>
      <c r="K257" s="2"/>
      <c r="L257" s="2"/>
    </row>
    <row r="258" spans="1:12" x14ac:dyDescent="0.2">
      <c r="A258" s="2"/>
      <c r="B258" s="2"/>
      <c r="C258" s="2"/>
      <c r="D258" s="2"/>
      <c r="E258" s="2"/>
      <c r="F258" s="2"/>
      <c r="G258" s="2"/>
      <c r="H258" s="2"/>
      <c r="I258" s="2"/>
      <c r="J258" s="2"/>
      <c r="K258" s="2"/>
      <c r="L258" s="2"/>
    </row>
    <row r="259" spans="1:12" x14ac:dyDescent="0.2">
      <c r="A259" s="2"/>
      <c r="B259" s="2"/>
      <c r="C259" s="2"/>
      <c r="D259" s="2"/>
      <c r="E259" s="2"/>
      <c r="F259" s="2"/>
      <c r="G259" s="2"/>
      <c r="H259" s="2"/>
      <c r="I259" s="2"/>
      <c r="J259" s="2"/>
      <c r="K259" s="2"/>
      <c r="L259" s="2"/>
    </row>
    <row r="260" spans="1:12" x14ac:dyDescent="0.2">
      <c r="A260" s="2"/>
      <c r="B260" s="2"/>
      <c r="C260" s="2"/>
      <c r="D260" s="2"/>
      <c r="E260" s="2"/>
      <c r="F260" s="2"/>
      <c r="G260" s="2"/>
      <c r="H260" s="2"/>
      <c r="I260" s="2"/>
      <c r="J260" s="2"/>
      <c r="K260" s="2"/>
      <c r="L260" s="2"/>
    </row>
    <row r="261" spans="1:12" x14ac:dyDescent="0.2">
      <c r="A261" s="2"/>
      <c r="B261" s="2"/>
      <c r="C261" s="2"/>
      <c r="D261" s="2"/>
      <c r="E261" s="2"/>
      <c r="F261" s="2"/>
      <c r="G261" s="2"/>
      <c r="H261" s="2"/>
      <c r="I261" s="2"/>
      <c r="J261" s="2"/>
      <c r="K261" s="2"/>
      <c r="L261" s="2"/>
    </row>
    <row r="262" spans="1:12" x14ac:dyDescent="0.2">
      <c r="A262" s="2"/>
      <c r="B262" s="2"/>
      <c r="C262" s="2"/>
      <c r="D262" s="2"/>
      <c r="E262" s="2"/>
      <c r="F262" s="2"/>
      <c r="G262" s="2"/>
      <c r="H262" s="2"/>
      <c r="I262" s="2"/>
      <c r="J262" s="2"/>
      <c r="K262" s="2"/>
      <c r="L262" s="2"/>
    </row>
    <row r="263" spans="1:12" x14ac:dyDescent="0.2">
      <c r="A263" s="2"/>
      <c r="B263" s="2"/>
      <c r="C263" s="2"/>
      <c r="D263" s="2"/>
      <c r="E263" s="2"/>
      <c r="F263" s="2"/>
      <c r="G263" s="2"/>
      <c r="H263" s="2"/>
      <c r="I263" s="2"/>
      <c r="J263" s="2"/>
      <c r="K263" s="2"/>
      <c r="L263" s="2"/>
    </row>
    <row r="264" spans="1:12" x14ac:dyDescent="0.2">
      <c r="A264" s="2"/>
      <c r="B264" s="2"/>
      <c r="C264" s="2"/>
      <c r="D264" s="2"/>
      <c r="E264" s="2"/>
      <c r="F264" s="2"/>
      <c r="G264" s="2"/>
      <c r="H264" s="2"/>
      <c r="I264" s="2"/>
      <c r="J264" s="2"/>
      <c r="K264" s="2"/>
      <c r="L264" s="2"/>
    </row>
    <row r="265" spans="1:12" x14ac:dyDescent="0.2">
      <c r="A265" s="2"/>
      <c r="B265" s="2"/>
      <c r="C265" s="2"/>
      <c r="D265" s="2"/>
      <c r="E265" s="2"/>
      <c r="F265" s="2"/>
      <c r="G265" s="2"/>
      <c r="H265" s="2"/>
      <c r="I265" s="2"/>
      <c r="J265" s="2"/>
      <c r="K265" s="2"/>
      <c r="L265" s="2"/>
    </row>
    <row r="266" spans="1:12" x14ac:dyDescent="0.2">
      <c r="A266" s="2"/>
      <c r="B266" s="2"/>
      <c r="C266" s="2"/>
      <c r="D266" s="2"/>
      <c r="E266" s="2"/>
      <c r="F266" s="2"/>
      <c r="G266" s="2"/>
      <c r="H266" s="2"/>
      <c r="I266" s="2"/>
      <c r="J266" s="2"/>
      <c r="K266" s="2"/>
      <c r="L266" s="2"/>
    </row>
    <row r="267" spans="1:12" x14ac:dyDescent="0.2">
      <c r="A267" s="2"/>
      <c r="B267" s="2"/>
      <c r="C267" s="2"/>
      <c r="D267" s="2"/>
      <c r="E267" s="2"/>
      <c r="F267" s="2"/>
      <c r="G267" s="2"/>
      <c r="H267" s="2"/>
      <c r="I267" s="2"/>
      <c r="J267" s="2"/>
      <c r="K267" s="2"/>
      <c r="L267" s="2"/>
    </row>
    <row r="268" spans="1:12" x14ac:dyDescent="0.2">
      <c r="A268" s="2"/>
      <c r="B268" s="2"/>
      <c r="C268" s="2"/>
      <c r="D268" s="2"/>
      <c r="E268" s="2"/>
      <c r="F268" s="2"/>
      <c r="G268" s="2"/>
      <c r="H268" s="2"/>
      <c r="I268" s="2"/>
      <c r="J268" s="2"/>
      <c r="K268" s="2"/>
      <c r="L268" s="2"/>
    </row>
    <row r="269" spans="1:12" x14ac:dyDescent="0.2">
      <c r="A269" s="2"/>
      <c r="B269" s="2"/>
      <c r="C269" s="2"/>
      <c r="D269" s="2"/>
      <c r="E269" s="2"/>
      <c r="F269" s="2"/>
      <c r="G269" s="2"/>
      <c r="H269" s="2"/>
      <c r="I269" s="2"/>
      <c r="J269" s="2"/>
      <c r="K269" s="2"/>
      <c r="L269" s="2"/>
    </row>
    <row r="270" spans="1:12" x14ac:dyDescent="0.2">
      <c r="A270" s="2"/>
      <c r="B270" s="2"/>
      <c r="C270" s="2"/>
      <c r="D270" s="2"/>
      <c r="E270" s="2"/>
      <c r="F270" s="2"/>
      <c r="G270" s="2"/>
      <c r="H270" s="2"/>
      <c r="I270" s="2"/>
      <c r="J270" s="2"/>
      <c r="K270" s="2"/>
      <c r="L270" s="2"/>
    </row>
    <row r="271" spans="1:12" x14ac:dyDescent="0.2">
      <c r="A271" s="2"/>
      <c r="B271" s="2"/>
      <c r="C271" s="2"/>
      <c r="D271" s="2"/>
      <c r="E271" s="2"/>
      <c r="F271" s="2"/>
      <c r="G271" s="2"/>
      <c r="H271" s="2"/>
      <c r="I271" s="2"/>
      <c r="J271" s="2"/>
      <c r="K271" s="2"/>
      <c r="L271" s="2"/>
    </row>
    <row r="272" spans="1:12" x14ac:dyDescent="0.2">
      <c r="A272" s="2"/>
      <c r="B272" s="2"/>
      <c r="C272" s="2"/>
      <c r="D272" s="2"/>
      <c r="E272" s="2"/>
      <c r="F272" s="2"/>
      <c r="G272" s="2"/>
      <c r="H272" s="2"/>
      <c r="I272" s="2"/>
      <c r="J272" s="2"/>
      <c r="K272" s="2"/>
      <c r="L272" s="2"/>
    </row>
    <row r="273" spans="1:12" x14ac:dyDescent="0.2">
      <c r="A273" s="2"/>
      <c r="B273" s="2"/>
      <c r="C273" s="2"/>
      <c r="D273" s="2"/>
      <c r="E273" s="2"/>
      <c r="F273" s="2"/>
      <c r="G273" s="2"/>
      <c r="H273" s="2"/>
      <c r="I273" s="2"/>
      <c r="J273" s="2"/>
      <c r="K273" s="2"/>
      <c r="L273" s="2"/>
    </row>
    <row r="274" spans="1:12" x14ac:dyDescent="0.2">
      <c r="A274" s="2"/>
      <c r="B274" s="2"/>
      <c r="C274" s="2"/>
      <c r="D274" s="2"/>
      <c r="E274" s="2"/>
      <c r="F274" s="2"/>
      <c r="G274" s="2"/>
      <c r="H274" s="2"/>
      <c r="I274" s="2"/>
      <c r="J274" s="2"/>
      <c r="K274" s="2"/>
      <c r="L274" s="2"/>
    </row>
    <row r="275" spans="1:12" x14ac:dyDescent="0.2">
      <c r="A275" s="2"/>
      <c r="B275" s="2"/>
      <c r="C275" s="2"/>
      <c r="D275" s="2"/>
      <c r="E275" s="2"/>
      <c r="F275" s="2"/>
      <c r="G275" s="2"/>
      <c r="H275" s="2"/>
      <c r="I275" s="2"/>
      <c r="J275" s="2"/>
      <c r="K275" s="2"/>
      <c r="L275" s="2"/>
    </row>
    <row r="276" spans="1:12" x14ac:dyDescent="0.2">
      <c r="A276" s="2"/>
      <c r="B276" s="2"/>
      <c r="C276" s="2"/>
      <c r="D276" s="2"/>
      <c r="E276" s="2"/>
      <c r="F276" s="2"/>
      <c r="G276" s="2"/>
      <c r="H276" s="2"/>
      <c r="I276" s="2"/>
      <c r="J276" s="2"/>
      <c r="K276" s="2"/>
      <c r="L276" s="2"/>
    </row>
    <row r="277" spans="1:12" x14ac:dyDescent="0.2">
      <c r="A277" s="2"/>
      <c r="B277" s="2"/>
      <c r="C277" s="2"/>
      <c r="D277" s="2"/>
      <c r="E277" s="2"/>
      <c r="F277" s="2"/>
      <c r="G277" s="2"/>
      <c r="H277" s="2"/>
      <c r="I277" s="2"/>
      <c r="J277" s="2"/>
      <c r="K277" s="2"/>
      <c r="L277" s="2"/>
    </row>
    <row r="278" spans="1:12" x14ac:dyDescent="0.2">
      <c r="A278" s="2"/>
      <c r="B278" s="2"/>
      <c r="C278" s="2"/>
      <c r="D278" s="2"/>
      <c r="E278" s="2"/>
      <c r="F278" s="2"/>
      <c r="G278" s="2"/>
      <c r="H278" s="2"/>
      <c r="I278" s="2"/>
      <c r="J278" s="2"/>
      <c r="K278" s="2"/>
      <c r="L278" s="2"/>
    </row>
    <row r="279" spans="1:12" x14ac:dyDescent="0.2">
      <c r="A279" s="2"/>
      <c r="B279" s="2"/>
      <c r="C279" s="2"/>
      <c r="D279" s="2"/>
      <c r="E279" s="2"/>
      <c r="F279" s="2"/>
      <c r="G279" s="2"/>
      <c r="H279" s="2"/>
      <c r="I279" s="2"/>
      <c r="J279" s="2"/>
      <c r="K279" s="2"/>
      <c r="L279" s="2"/>
    </row>
    <row r="280" spans="1:12" x14ac:dyDescent="0.2">
      <c r="A280" s="2"/>
      <c r="B280" s="2"/>
      <c r="C280" s="2"/>
      <c r="D280" s="2"/>
      <c r="E280" s="2"/>
      <c r="F280" s="2"/>
      <c r="G280" s="2"/>
      <c r="H280" s="2"/>
      <c r="I280" s="2"/>
      <c r="J280" s="2"/>
      <c r="K280" s="2"/>
      <c r="L280" s="2"/>
    </row>
    <row r="281" spans="1:12" x14ac:dyDescent="0.2">
      <c r="A281" s="2"/>
      <c r="B281" s="2"/>
      <c r="C281" s="2"/>
      <c r="D281" s="2"/>
      <c r="E281" s="2"/>
      <c r="F281" s="2"/>
      <c r="G281" s="2"/>
      <c r="H281" s="2"/>
      <c r="I281" s="2"/>
      <c r="J281" s="2"/>
      <c r="K281" s="2"/>
      <c r="L281" s="2"/>
    </row>
  </sheetData>
  <sheetProtection sheet="1" objects="1" scenarios="1"/>
  <phoneticPr fontId="0" type="noConversion"/>
  <pageMargins left="0.25" right="0.25" top="0.75" bottom="0.75" header="0.3" footer="0.3"/>
  <pageSetup fitToHeight="0" orientation="landscape"/>
  <headerFooter alignWithMargins="0"/>
  <rowBreaks count="3" manualBreakCount="3">
    <brk id="27" max="16383" man="1"/>
    <brk id="52" max="16383" man="1"/>
    <brk id="82" max="16383" man="1"/>
  </rowBreaks>
  <drawing r:id="rId1"/>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B1:P56"/>
  <sheetViews>
    <sheetView workbookViewId="0">
      <selection activeCell="A10" sqref="A10"/>
    </sheetView>
  </sheetViews>
  <sheetFormatPr defaultColWidth="8.85546875" defaultRowHeight="12.75" x14ac:dyDescent="0.2"/>
  <cols>
    <col min="1" max="1" width="2.42578125" style="56" customWidth="1"/>
    <col min="2" max="8" width="8.85546875" style="56"/>
    <col min="9" max="9" width="3" style="56" customWidth="1"/>
    <col min="10" max="16384" width="8.85546875" style="56"/>
  </cols>
  <sheetData>
    <row r="1" spans="2:16" ht="15.75" x14ac:dyDescent="0.25">
      <c r="B1" s="44" t="s">
        <v>189</v>
      </c>
      <c r="H1" s="56" t="str">
        <f>'Cost of Production'!C3</f>
        <v>CornGrain</v>
      </c>
      <c r="I1" s="56" t="s">
        <v>190</v>
      </c>
      <c r="J1" s="56" t="str">
        <f>'Cost of Production'!D3</f>
        <v>SoyBean</v>
      </c>
    </row>
    <row r="2" spans="2:16" x14ac:dyDescent="0.2">
      <c r="B2" s="56" t="s">
        <v>135</v>
      </c>
      <c r="H2" s="56" t="s">
        <v>101</v>
      </c>
      <c r="J2" s="56" t="s">
        <v>0</v>
      </c>
    </row>
    <row r="4" spans="2:16" ht="15" x14ac:dyDescent="0.25">
      <c r="B4" s="56" t="s">
        <v>168</v>
      </c>
      <c r="H4" s="57">
        <v>1</v>
      </c>
      <c r="K4" s="57"/>
      <c r="L4" s="58" t="s">
        <v>161</v>
      </c>
    </row>
    <row r="5" spans="2:16" x14ac:dyDescent="0.2">
      <c r="H5" s="59"/>
    </row>
    <row r="6" spans="2:16" x14ac:dyDescent="0.2">
      <c r="B6" s="56" t="s">
        <v>160</v>
      </c>
      <c r="H6" s="59"/>
    </row>
    <row r="7" spans="2:16" x14ac:dyDescent="0.2">
      <c r="B7" s="56" t="s">
        <v>176</v>
      </c>
      <c r="F7" s="56" t="s">
        <v>167</v>
      </c>
      <c r="J7" s="56" t="s">
        <v>177</v>
      </c>
      <c r="N7" s="56" t="s">
        <v>169</v>
      </c>
    </row>
    <row r="8" spans="2:16" x14ac:dyDescent="0.2">
      <c r="B8" s="56" t="s">
        <v>142</v>
      </c>
      <c r="D8" s="60">
        <f>D9*0.8</f>
        <v>136</v>
      </c>
      <c r="F8" s="56" t="s">
        <v>142</v>
      </c>
      <c r="H8" s="60">
        <f>H9*0.8</f>
        <v>40</v>
      </c>
      <c r="J8" s="56" t="s">
        <v>142</v>
      </c>
      <c r="L8" s="61">
        <f>L9*0.8</f>
        <v>3.44</v>
      </c>
      <c r="N8" s="56" t="s">
        <v>142</v>
      </c>
      <c r="P8" s="61">
        <f>P9*0.8</f>
        <v>8.56</v>
      </c>
    </row>
    <row r="9" spans="2:16" x14ac:dyDescent="0.2">
      <c r="B9" s="56" t="s">
        <v>143</v>
      </c>
      <c r="D9" s="60">
        <f>'Cost of Production'!C4</f>
        <v>170</v>
      </c>
      <c r="F9" s="56" t="s">
        <v>143</v>
      </c>
      <c r="H9" s="60">
        <f>'Cost of Production'!D4</f>
        <v>50</v>
      </c>
      <c r="J9" s="56" t="s">
        <v>143</v>
      </c>
      <c r="L9" s="61">
        <f>'Cost of Production'!C5</f>
        <v>4.3</v>
      </c>
      <c r="N9" s="56" t="s">
        <v>143</v>
      </c>
      <c r="P9" s="61">
        <f>'Cost of Production'!D5</f>
        <v>10.7</v>
      </c>
    </row>
    <row r="10" spans="2:16" x14ac:dyDescent="0.2">
      <c r="B10" s="56" t="s">
        <v>207</v>
      </c>
      <c r="D10" s="60">
        <f>D9*1.2</f>
        <v>204</v>
      </c>
      <c r="F10" s="56" t="s">
        <v>207</v>
      </c>
      <c r="H10" s="60">
        <f>H9*1.2</f>
        <v>60</v>
      </c>
      <c r="J10" s="56" t="s">
        <v>207</v>
      </c>
      <c r="L10" s="61">
        <f>L9*1.2</f>
        <v>5.1599999999999993</v>
      </c>
      <c r="N10" s="56" t="s">
        <v>207</v>
      </c>
      <c r="P10" s="61">
        <f>P9*1.2</f>
        <v>12.839999999999998</v>
      </c>
    </row>
    <row r="11" spans="2:16" x14ac:dyDescent="0.2">
      <c r="H11" s="59"/>
    </row>
    <row r="12" spans="2:16" x14ac:dyDescent="0.2">
      <c r="B12" s="56" t="s">
        <v>162</v>
      </c>
    </row>
    <row r="13" spans="2:16" x14ac:dyDescent="0.2">
      <c r="B13" s="56" t="s">
        <v>136</v>
      </c>
    </row>
    <row r="14" spans="2:16" x14ac:dyDescent="0.2">
      <c r="B14" s="56" t="s">
        <v>137</v>
      </c>
      <c r="H14" s="61">
        <f>'Cost of Production'!C27</f>
        <v>453.01418032786881</v>
      </c>
    </row>
    <row r="15" spans="2:16" x14ac:dyDescent="0.2">
      <c r="B15" s="56" t="s">
        <v>191</v>
      </c>
      <c r="H15" s="61">
        <f>'Cost of Production'!C26</f>
        <v>0.48500000000000004</v>
      </c>
    </row>
    <row r="17" spans="2:14" x14ac:dyDescent="0.2">
      <c r="B17" s="56" t="s">
        <v>172</v>
      </c>
    </row>
    <row r="18" spans="2:14" x14ac:dyDescent="0.2">
      <c r="B18" s="56" t="s">
        <v>140</v>
      </c>
      <c r="H18" s="61">
        <f>'Cost of Production'!D27</f>
        <v>244.88081967213117</v>
      </c>
    </row>
    <row r="19" spans="2:14" x14ac:dyDescent="0.2">
      <c r="B19" s="56" t="s">
        <v>192</v>
      </c>
      <c r="H19" s="61">
        <f>'Cost of Production'!D26</f>
        <v>0.41</v>
      </c>
    </row>
    <row r="22" spans="2:14" ht="15" x14ac:dyDescent="0.25">
      <c r="J22" s="20" t="s">
        <v>174</v>
      </c>
      <c r="K22" s="20"/>
      <c r="L22" s="20"/>
      <c r="M22" s="20"/>
      <c r="N22" s="62"/>
    </row>
    <row r="23" spans="2:14" ht="15" x14ac:dyDescent="0.25">
      <c r="C23" s="20" t="s">
        <v>175</v>
      </c>
      <c r="D23" s="20"/>
      <c r="E23" s="20"/>
      <c r="F23" s="20"/>
      <c r="G23" s="20"/>
      <c r="H23" s="20"/>
      <c r="J23" s="20" t="s">
        <v>196</v>
      </c>
    </row>
    <row r="24" spans="2:14" ht="15.75" thickBot="1" x14ac:dyDescent="0.3">
      <c r="C24" s="63" t="s">
        <v>194</v>
      </c>
      <c r="D24" s="63"/>
      <c r="E24" s="63"/>
      <c r="F24" s="64">
        <f>L9</f>
        <v>4.3</v>
      </c>
      <c r="G24" s="63" t="s">
        <v>150</v>
      </c>
      <c r="H24" s="20"/>
      <c r="J24" s="63" t="s">
        <v>195</v>
      </c>
      <c r="K24" s="63"/>
      <c r="L24" s="63"/>
      <c r="M24" s="65">
        <f>D9</f>
        <v>170</v>
      </c>
      <c r="N24" s="63" t="s">
        <v>154</v>
      </c>
    </row>
    <row r="25" spans="2:14" ht="13.5" thickTop="1" x14ac:dyDescent="0.2"/>
    <row r="26" spans="2:14" ht="15.75" thickBot="1" x14ac:dyDescent="0.3">
      <c r="C26" s="20"/>
      <c r="D26" s="20"/>
      <c r="E26" s="66" t="s">
        <v>170</v>
      </c>
      <c r="F26" s="66"/>
      <c r="G26" s="66"/>
      <c r="J26" s="20"/>
      <c r="K26" s="20"/>
      <c r="L26" s="66" t="s">
        <v>171</v>
      </c>
      <c r="M26" s="66"/>
      <c r="N26" s="66"/>
    </row>
    <row r="27" spans="2:14" ht="15.75" thickBot="1" x14ac:dyDescent="0.3">
      <c r="C27" s="218"/>
      <c r="D27" s="218"/>
      <c r="E27" s="225">
        <f>H8</f>
        <v>40</v>
      </c>
      <c r="F27" s="226">
        <f>H9</f>
        <v>50</v>
      </c>
      <c r="G27" s="227">
        <f>H10</f>
        <v>60</v>
      </c>
      <c r="J27" s="218"/>
      <c r="K27" s="218"/>
      <c r="L27" s="231">
        <f>P8</f>
        <v>8.56</v>
      </c>
      <c r="M27" s="232">
        <f>P9</f>
        <v>10.7</v>
      </c>
      <c r="N27" s="233">
        <f>P10</f>
        <v>12.839999999999998</v>
      </c>
    </row>
    <row r="28" spans="2:14" ht="15" x14ac:dyDescent="0.25">
      <c r="C28" s="219" t="s">
        <v>101</v>
      </c>
      <c r="D28" s="222">
        <f>D8</f>
        <v>136</v>
      </c>
      <c r="E28" s="210">
        <f t="shared" ref="E28:G30" si="0">($F$24*$D28-($H$14+$H$15*$D28)+($H$18+$H$19*E$27))/E$27</f>
        <v>8.1776659836065573</v>
      </c>
      <c r="F28" s="211">
        <f t="shared" si="0"/>
        <v>6.6241327868852462</v>
      </c>
      <c r="G28" s="212">
        <f t="shared" si="0"/>
        <v>5.5884439890710391</v>
      </c>
      <c r="J28" s="219" t="s">
        <v>101</v>
      </c>
      <c r="K28" s="228">
        <f>L8</f>
        <v>3.44</v>
      </c>
      <c r="L28" s="234">
        <f>(($K28*$M$24-($H$14+$H$15*$M$24))+$H$18)/(L$27-$H$19)</f>
        <v>36.100201146535255</v>
      </c>
      <c r="M28" s="235">
        <f t="shared" ref="M28:N30" si="1">(($K28*$M$24-($H$14+$H$15*$M$24))+$H$18)/(M$27-$H$19)</f>
        <v>28.592481957654261</v>
      </c>
      <c r="N28" s="236">
        <f t="shared" si="1"/>
        <v>23.669882489482088</v>
      </c>
    </row>
    <row r="29" spans="2:14" ht="15" x14ac:dyDescent="0.25">
      <c r="C29" s="220" t="s">
        <v>152</v>
      </c>
      <c r="D29" s="223">
        <f>D9</f>
        <v>170</v>
      </c>
      <c r="E29" s="213">
        <f t="shared" si="0"/>
        <v>11.420415983606558</v>
      </c>
      <c r="F29" s="72">
        <f>($F$24*$D29-($H$14+$H$15*$D29)+($H$18+$H$19*F$27))/F$27</f>
        <v>9.2183327868852469</v>
      </c>
      <c r="G29" s="214">
        <f t="shared" si="0"/>
        <v>7.7502773224043731</v>
      </c>
      <c r="J29" s="220" t="s">
        <v>156</v>
      </c>
      <c r="K29" s="229">
        <f>L9</f>
        <v>4.3</v>
      </c>
      <c r="L29" s="237">
        <f>(($K29*$M$24-($H$14+$H$15*$M$24))+$H$18)/(L$27-$H$19)</f>
        <v>54.038851453283726</v>
      </c>
      <c r="M29" s="74">
        <f t="shared" si="1"/>
        <v>42.800450859500721</v>
      </c>
      <c r="N29" s="238">
        <f t="shared" si="1"/>
        <v>35.431748941614032</v>
      </c>
    </row>
    <row r="30" spans="2:14" ht="15.75" thickBot="1" x14ac:dyDescent="0.3">
      <c r="C30" s="221" t="s">
        <v>158</v>
      </c>
      <c r="D30" s="224">
        <f>D10</f>
        <v>204</v>
      </c>
      <c r="E30" s="215">
        <f t="shared" si="0"/>
        <v>14.663165983606557</v>
      </c>
      <c r="F30" s="216">
        <f t="shared" si="0"/>
        <v>11.812532786885244</v>
      </c>
      <c r="G30" s="217">
        <f t="shared" si="0"/>
        <v>9.9121106557377061</v>
      </c>
      <c r="J30" s="221" t="s">
        <v>157</v>
      </c>
      <c r="K30" s="230">
        <f>L10</f>
        <v>5.1599999999999993</v>
      </c>
      <c r="L30" s="239">
        <f>(($K30*$M$24-($H$14+$H$15*$M$24))+$H$18)/(L$27-$H$19)</f>
        <v>71.977501760032169</v>
      </c>
      <c r="M30" s="240">
        <f t="shared" si="1"/>
        <v>57.008419761347163</v>
      </c>
      <c r="N30" s="241">
        <f t="shared" si="1"/>
        <v>47.193615393745965</v>
      </c>
    </row>
    <row r="33" spans="3:10" ht="64.5" x14ac:dyDescent="0.25">
      <c r="C33" s="78" t="s">
        <v>163</v>
      </c>
      <c r="D33" s="79" t="s">
        <v>197</v>
      </c>
      <c r="E33" s="79" t="s">
        <v>197</v>
      </c>
      <c r="F33" s="79"/>
      <c r="J33" s="58"/>
    </row>
    <row r="34" spans="3:10" ht="15" x14ac:dyDescent="0.25">
      <c r="C34" s="78"/>
      <c r="D34" s="60">
        <v>55</v>
      </c>
      <c r="E34" s="60">
        <v>45</v>
      </c>
      <c r="F34" s="79"/>
      <c r="G34" s="82" t="s">
        <v>166</v>
      </c>
      <c r="J34" s="58"/>
    </row>
    <row r="35" spans="3:10" ht="15" x14ac:dyDescent="0.25">
      <c r="C35" s="80">
        <v>4</v>
      </c>
      <c r="D35" s="81">
        <f>(($G$35*$C35-($H$14+$H$15*$G$35)+($H$18+$H$19*$D$34))/$D$34)</f>
        <v>7.4903025335320432</v>
      </c>
      <c r="E35" s="81">
        <f t="shared" ref="E35:E47" si="2">(($G$35*$C35-($H$14+$H$15*$G$35)+($H$18+$H$19*$E$34))/$E$34)</f>
        <v>9.0637030965391627</v>
      </c>
      <c r="G35" s="60">
        <f>M24</f>
        <v>170</v>
      </c>
    </row>
    <row r="36" spans="3:10" ht="15" x14ac:dyDescent="0.25">
      <c r="C36" s="83">
        <f>C35+0.25</f>
        <v>4.25</v>
      </c>
      <c r="D36" s="81">
        <f t="shared" ref="D36:D47" si="3">(($G$35*$C36-($H$14+$H$15*$G$35)+($H$18+$H$19*$D$34))/$D$34)</f>
        <v>8.2630298062593166</v>
      </c>
      <c r="E36" s="81">
        <f t="shared" si="2"/>
        <v>10.008147540983607</v>
      </c>
      <c r="F36" s="82"/>
    </row>
    <row r="37" spans="3:10" ht="15" x14ac:dyDescent="0.25">
      <c r="C37" s="83">
        <f t="shared" ref="C37:C45" si="4">C36+0.25</f>
        <v>4.5</v>
      </c>
      <c r="D37" s="81">
        <f t="shared" si="3"/>
        <v>9.0357570789865882</v>
      </c>
      <c r="E37" s="81">
        <f t="shared" si="2"/>
        <v>10.952591985428052</v>
      </c>
      <c r="F37" s="82"/>
    </row>
    <row r="38" spans="3:10" ht="15" x14ac:dyDescent="0.25">
      <c r="C38" s="83">
        <f t="shared" si="4"/>
        <v>4.75</v>
      </c>
      <c r="D38" s="81">
        <f t="shared" si="3"/>
        <v>9.8084843517138616</v>
      </c>
      <c r="E38" s="81">
        <f t="shared" si="2"/>
        <v>11.897036429872497</v>
      </c>
      <c r="F38" s="82"/>
    </row>
    <row r="39" spans="3:10" ht="15" x14ac:dyDescent="0.25">
      <c r="C39" s="83">
        <f t="shared" si="4"/>
        <v>5</v>
      </c>
      <c r="D39" s="81">
        <f t="shared" si="3"/>
        <v>10.581211624441135</v>
      </c>
      <c r="E39" s="81">
        <f t="shared" si="2"/>
        <v>12.841480874316941</v>
      </c>
      <c r="F39" s="84"/>
      <c r="G39" s="85">
        <f>G35/D34</f>
        <v>3.0909090909090908</v>
      </c>
      <c r="H39" s="86" t="s">
        <v>173</v>
      </c>
    </row>
    <row r="40" spans="3:10" ht="15" x14ac:dyDescent="0.25">
      <c r="C40" s="83">
        <f t="shared" si="4"/>
        <v>5.25</v>
      </c>
      <c r="D40" s="81">
        <f t="shared" si="3"/>
        <v>11.353938897168407</v>
      </c>
      <c r="E40" s="81">
        <f t="shared" si="2"/>
        <v>13.785925318761386</v>
      </c>
      <c r="F40" s="84"/>
      <c r="G40" s="85">
        <f>G35/E34</f>
        <v>3.7777777777777777</v>
      </c>
      <c r="H40" s="86" t="s">
        <v>173</v>
      </c>
    </row>
    <row r="41" spans="3:10" ht="15" x14ac:dyDescent="0.25">
      <c r="C41" s="83">
        <f t="shared" si="4"/>
        <v>5.5</v>
      </c>
      <c r="D41" s="81">
        <f t="shared" si="3"/>
        <v>12.12666616989568</v>
      </c>
      <c r="E41" s="81">
        <f t="shared" si="2"/>
        <v>14.730369763205831</v>
      </c>
      <c r="F41" s="82"/>
    </row>
    <row r="42" spans="3:10" ht="15" x14ac:dyDescent="0.25">
      <c r="C42" s="83">
        <f t="shared" si="4"/>
        <v>5.75</v>
      </c>
      <c r="D42" s="81">
        <f t="shared" si="3"/>
        <v>12.899393442622952</v>
      </c>
      <c r="E42" s="81">
        <f t="shared" si="2"/>
        <v>15.674814207650275</v>
      </c>
      <c r="F42" s="82"/>
    </row>
    <row r="43" spans="3:10" ht="15" x14ac:dyDescent="0.25">
      <c r="C43" s="83">
        <f t="shared" si="4"/>
        <v>6</v>
      </c>
      <c r="D43" s="81">
        <f t="shared" si="3"/>
        <v>13.672120715350225</v>
      </c>
      <c r="E43" s="81">
        <f t="shared" si="2"/>
        <v>16.619258652094718</v>
      </c>
      <c r="F43" s="82"/>
    </row>
    <row r="44" spans="3:10" ht="15" x14ac:dyDescent="0.25">
      <c r="C44" s="83">
        <f t="shared" si="4"/>
        <v>6.25</v>
      </c>
      <c r="D44" s="81">
        <f t="shared" si="3"/>
        <v>14.444847988077498</v>
      </c>
      <c r="E44" s="81">
        <f t="shared" si="2"/>
        <v>17.563703096539165</v>
      </c>
      <c r="F44" s="82"/>
    </row>
    <row r="45" spans="3:10" ht="15" x14ac:dyDescent="0.25">
      <c r="C45" s="83">
        <f t="shared" si="4"/>
        <v>6.5</v>
      </c>
      <c r="D45" s="81">
        <f t="shared" si="3"/>
        <v>15.21757526080477</v>
      </c>
      <c r="E45" s="81">
        <f t="shared" si="2"/>
        <v>18.508147540983607</v>
      </c>
      <c r="F45" s="82"/>
    </row>
    <row r="46" spans="3:10" ht="15" x14ac:dyDescent="0.25">
      <c r="C46" s="83">
        <f>C45+0.25</f>
        <v>6.75</v>
      </c>
      <c r="D46" s="81">
        <f t="shared" si="3"/>
        <v>15.990302533532043</v>
      </c>
      <c r="E46" s="81">
        <f t="shared" si="2"/>
        <v>19.452591985428054</v>
      </c>
    </row>
    <row r="47" spans="3:10" ht="15" x14ac:dyDescent="0.25">
      <c r="C47" s="83">
        <f>C46+0.25</f>
        <v>7</v>
      </c>
      <c r="D47" s="81">
        <f t="shared" si="3"/>
        <v>16.763029806259315</v>
      </c>
      <c r="E47" s="81">
        <f t="shared" si="2"/>
        <v>20.397036429872497</v>
      </c>
    </row>
    <row r="48" spans="3:10" ht="15" x14ac:dyDescent="0.25">
      <c r="C48" s="87"/>
      <c r="D48" s="81"/>
    </row>
    <row r="50" spans="4:7" x14ac:dyDescent="0.2">
      <c r="D50" s="81"/>
    </row>
    <row r="51" spans="4:7" x14ac:dyDescent="0.2">
      <c r="D51" s="81"/>
    </row>
    <row r="52" spans="4:7" x14ac:dyDescent="0.2">
      <c r="D52" s="81"/>
    </row>
    <row r="55" spans="4:7" x14ac:dyDescent="0.2">
      <c r="G55" s="86"/>
    </row>
    <row r="56" spans="4:7" x14ac:dyDescent="0.2">
      <c r="G56" s="86"/>
    </row>
  </sheetData>
  <phoneticPr fontId="30" type="noConversion"/>
  <pageMargins left="0.28999999999999998" right="0.28000000000000003" top="0.31" bottom="1" header="0.35" footer="0.5"/>
  <pageSetup fitToHeight="2" orientation="landscape" horizontalDpi="4294967293" verticalDpi="4294967293"/>
  <headerFooter alignWithMargins="0"/>
  <drawing r:id="rId1"/>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52"/>
  <sheetViews>
    <sheetView topLeftCell="A30" workbookViewId="0">
      <selection activeCell="A15" sqref="A15"/>
    </sheetView>
  </sheetViews>
  <sheetFormatPr defaultColWidth="8.85546875" defaultRowHeight="12.75" x14ac:dyDescent="0.2"/>
  <cols>
    <col min="1" max="1" width="3" style="56" customWidth="1"/>
    <col min="2" max="3" width="8.85546875" style="56"/>
    <col min="4" max="4" width="10.7109375" style="56" bestFit="1" customWidth="1"/>
    <col min="5" max="5" width="10.42578125" style="56" customWidth="1"/>
    <col min="6" max="8" width="8.85546875" style="56"/>
    <col min="9" max="9" width="1.42578125" style="56" customWidth="1"/>
    <col min="10" max="14" width="8.85546875" style="56"/>
    <col min="15" max="16" width="6.7109375" style="56" customWidth="1"/>
    <col min="17" max="16384" width="8.85546875" style="56"/>
  </cols>
  <sheetData>
    <row r="1" spans="2:16" ht="15.75" x14ac:dyDescent="0.25">
      <c r="B1" s="44" t="s">
        <v>159</v>
      </c>
    </row>
    <row r="2" spans="2:16" x14ac:dyDescent="0.2">
      <c r="B2" s="56" t="s">
        <v>135</v>
      </c>
    </row>
    <row r="4" spans="2:16" ht="15" x14ac:dyDescent="0.25">
      <c r="B4" s="56" t="s">
        <v>141</v>
      </c>
      <c r="H4" s="57">
        <v>5</v>
      </c>
      <c r="K4" s="57"/>
      <c r="L4" s="58" t="s">
        <v>161</v>
      </c>
    </row>
    <row r="5" spans="2:16" x14ac:dyDescent="0.2">
      <c r="H5" s="59"/>
    </row>
    <row r="6" spans="2:16" x14ac:dyDescent="0.2">
      <c r="B6" s="56" t="s">
        <v>160</v>
      </c>
      <c r="H6" s="59"/>
    </row>
    <row r="7" spans="2:16" x14ac:dyDescent="0.2">
      <c r="B7" s="56" t="s">
        <v>145</v>
      </c>
      <c r="F7" s="56" t="s">
        <v>146</v>
      </c>
      <c r="J7" s="56" t="s">
        <v>147</v>
      </c>
      <c r="N7" s="56" t="s">
        <v>148</v>
      </c>
    </row>
    <row r="8" spans="2:16" x14ac:dyDescent="0.2">
      <c r="B8" s="56" t="s">
        <v>142</v>
      </c>
      <c r="D8" s="92">
        <f>D9*0.8</f>
        <v>136</v>
      </c>
      <c r="F8" s="56" t="s">
        <v>142</v>
      </c>
      <c r="H8" s="60">
        <f>H9*0.8</f>
        <v>4</v>
      </c>
      <c r="J8" s="56" t="s">
        <v>142</v>
      </c>
      <c r="L8" s="61">
        <f>L9*0.8</f>
        <v>3.44</v>
      </c>
      <c r="N8" s="56" t="s">
        <v>142</v>
      </c>
      <c r="P8" s="93">
        <f>P9*0.8</f>
        <v>96</v>
      </c>
    </row>
    <row r="9" spans="2:16" x14ac:dyDescent="0.2">
      <c r="B9" s="56" t="s">
        <v>143</v>
      </c>
      <c r="D9" s="92">
        <f>'Cost of Production'!C4</f>
        <v>170</v>
      </c>
      <c r="F9" s="56" t="s">
        <v>143</v>
      </c>
      <c r="H9" s="60">
        <f>'Cost of Production'!F4</f>
        <v>5</v>
      </c>
      <c r="J9" s="56" t="s">
        <v>143</v>
      </c>
      <c r="L9" s="61">
        <f>'Cost of Production'!C5</f>
        <v>4.3</v>
      </c>
      <c r="N9" s="56" t="s">
        <v>143</v>
      </c>
      <c r="P9" s="93">
        <f>'Cost of Production'!F5</f>
        <v>120</v>
      </c>
    </row>
    <row r="10" spans="2:16" x14ac:dyDescent="0.2">
      <c r="B10" s="56" t="s">
        <v>144</v>
      </c>
      <c r="D10" s="92">
        <f>D9*1.2</f>
        <v>204</v>
      </c>
      <c r="F10" s="56" t="s">
        <v>144</v>
      </c>
      <c r="H10" s="60">
        <f>H9*1.2</f>
        <v>6</v>
      </c>
      <c r="J10" s="56" t="s">
        <v>144</v>
      </c>
      <c r="L10" s="61">
        <f>L9*1.2</f>
        <v>5.1599999999999993</v>
      </c>
      <c r="N10" s="56" t="s">
        <v>144</v>
      </c>
      <c r="P10" s="93">
        <f>P9*1.2</f>
        <v>144</v>
      </c>
    </row>
    <row r="11" spans="2:16" x14ac:dyDescent="0.2">
      <c r="H11" s="59"/>
    </row>
    <row r="12" spans="2:16" x14ac:dyDescent="0.2">
      <c r="B12" s="56" t="s">
        <v>162</v>
      </c>
    </row>
    <row r="13" spans="2:16" x14ac:dyDescent="0.2">
      <c r="B13" s="56" t="s">
        <v>136</v>
      </c>
    </row>
    <row r="14" spans="2:16" x14ac:dyDescent="0.2">
      <c r="B14" s="56" t="s">
        <v>137</v>
      </c>
      <c r="H14" s="61">
        <f>'Cost of Production'!C27</f>
        <v>453.01418032786881</v>
      </c>
    </row>
    <row r="15" spans="2:16" x14ac:dyDescent="0.2">
      <c r="B15" s="56" t="s">
        <v>138</v>
      </c>
      <c r="H15" s="61">
        <f>'Cost of Production'!C26</f>
        <v>0.48500000000000004</v>
      </c>
    </row>
    <row r="17" spans="2:14" x14ac:dyDescent="0.2">
      <c r="B17" s="56" t="s">
        <v>139</v>
      </c>
    </row>
    <row r="18" spans="2:14" x14ac:dyDescent="0.2">
      <c r="B18" s="56" t="s">
        <v>140</v>
      </c>
      <c r="H18" s="61">
        <f>'Cost of Production'!F27</f>
        <v>308.82049180327868</v>
      </c>
    </row>
    <row r="19" spans="2:14" x14ac:dyDescent="0.2">
      <c r="B19" s="56" t="s">
        <v>149</v>
      </c>
      <c r="H19" s="61">
        <f>'Cost of Production'!F26</f>
        <v>20</v>
      </c>
    </row>
    <row r="22" spans="2:14" ht="15" x14ac:dyDescent="0.25">
      <c r="J22" s="20" t="s">
        <v>198</v>
      </c>
      <c r="K22" s="20"/>
      <c r="L22" s="20"/>
      <c r="M22" s="20"/>
      <c r="N22" s="62">
        <f>H4</f>
        <v>5</v>
      </c>
    </row>
    <row r="23" spans="2:14" ht="15" x14ac:dyDescent="0.25">
      <c r="C23" s="20" t="s">
        <v>199</v>
      </c>
      <c r="D23" s="20"/>
      <c r="E23" s="20"/>
      <c r="F23" s="20"/>
      <c r="G23" s="20"/>
      <c r="H23" s="20"/>
      <c r="J23" s="20" t="s">
        <v>165</v>
      </c>
    </row>
    <row r="24" spans="2:14" ht="15.75" thickBot="1" x14ac:dyDescent="0.3">
      <c r="C24" s="63" t="s">
        <v>153</v>
      </c>
      <c r="D24" s="63"/>
      <c r="E24" s="63"/>
      <c r="F24" s="64">
        <f>L9</f>
        <v>4.3</v>
      </c>
      <c r="G24" s="63" t="s">
        <v>150</v>
      </c>
      <c r="H24" s="20"/>
      <c r="J24" s="63" t="s">
        <v>164</v>
      </c>
      <c r="K24" s="63"/>
      <c r="L24" s="63"/>
      <c r="M24" s="94">
        <f>D9</f>
        <v>170</v>
      </c>
      <c r="N24" s="63" t="s">
        <v>154</v>
      </c>
    </row>
    <row r="25" spans="2:14" ht="13.5" thickTop="1" x14ac:dyDescent="0.2"/>
    <row r="26" spans="2:14" ht="15.75" thickBot="1" x14ac:dyDescent="0.3">
      <c r="C26" s="20"/>
      <c r="D26" s="20"/>
      <c r="E26" s="66" t="s">
        <v>151</v>
      </c>
      <c r="F26" s="66"/>
      <c r="G26" s="66"/>
      <c r="J26" s="20"/>
      <c r="K26" s="20"/>
      <c r="L26" s="66" t="s">
        <v>155</v>
      </c>
      <c r="M26" s="66"/>
      <c r="N26" s="66"/>
    </row>
    <row r="27" spans="2:14" ht="16.5" thickTop="1" thickBot="1" x14ac:dyDescent="0.3">
      <c r="C27" s="63"/>
      <c r="D27" s="63"/>
      <c r="E27" s="67">
        <f>H8</f>
        <v>4</v>
      </c>
      <c r="F27" s="68">
        <f>H9</f>
        <v>5</v>
      </c>
      <c r="G27" s="69">
        <f>H10</f>
        <v>6</v>
      </c>
      <c r="J27" s="63"/>
      <c r="K27" s="63"/>
      <c r="L27" s="95">
        <f>P8</f>
        <v>96</v>
      </c>
      <c r="M27" s="96">
        <f>P9</f>
        <v>120</v>
      </c>
      <c r="N27" s="97">
        <f>P10</f>
        <v>144</v>
      </c>
    </row>
    <row r="28" spans="2:14" ht="15.75" thickTop="1" x14ac:dyDescent="0.25">
      <c r="C28" s="70" t="s">
        <v>101</v>
      </c>
      <c r="D28" s="71">
        <f>D8</f>
        <v>136</v>
      </c>
      <c r="E28" s="72">
        <f>($F$24*$D28-($H$14+$H$15*$D28)+($H$18+$H$19*E$27))/E$27</f>
        <v>113.66157786885246</v>
      </c>
      <c r="F28" s="72">
        <f t="shared" ref="F28:G30" si="0">($F$24*$D28-($H$14+$H$15*$D28)+($H$18+$H$19*F$27))/F$27</f>
        <v>94.929262295081969</v>
      </c>
      <c r="G28" s="72">
        <f t="shared" si="0"/>
        <v>82.441051912568312</v>
      </c>
      <c r="J28" s="70" t="s">
        <v>101</v>
      </c>
      <c r="K28" s="73">
        <f>L8</f>
        <v>3.44</v>
      </c>
      <c r="L28" s="98">
        <f>(($K28*$M$24-($H$14+$H$15*$M$24))+$H$18)/(L$27-$H$19)</f>
        <v>4.7125830457290769</v>
      </c>
      <c r="M28" s="99">
        <f t="shared" ref="M28:N30" si="1">(($K28*$M$24-($H$14+$H$15*$M$24))+$H$18)/(M$27-$H$19)</f>
        <v>3.5815631147540983</v>
      </c>
      <c r="N28" s="100">
        <f t="shared" si="1"/>
        <v>2.8883573506081439</v>
      </c>
    </row>
    <row r="29" spans="2:14" ht="15" x14ac:dyDescent="0.25">
      <c r="C29" s="70" t="s">
        <v>152</v>
      </c>
      <c r="D29" s="71">
        <f>D9</f>
        <v>170</v>
      </c>
      <c r="E29" s="72">
        <f>($F$24*$D29-($H$14+$H$15*$D29)+($H$18+$H$19*E$27))/E$27</f>
        <v>146.08907786885248</v>
      </c>
      <c r="F29" s="72">
        <f t="shared" si="0"/>
        <v>120.87126229508199</v>
      </c>
      <c r="G29" s="72">
        <f t="shared" si="0"/>
        <v>104.05938524590165</v>
      </c>
      <c r="J29" s="70" t="s">
        <v>156</v>
      </c>
      <c r="K29" s="73">
        <f>L9</f>
        <v>4.3</v>
      </c>
      <c r="L29" s="101">
        <f>(($K29*$M$24-($H$14+$H$15*$M$24))+$H$18)/(L$27-$H$19)</f>
        <v>6.636267256255393</v>
      </c>
      <c r="M29" s="102">
        <f t="shared" si="1"/>
        <v>5.0435631147540985</v>
      </c>
      <c r="N29" s="103">
        <f t="shared" si="1"/>
        <v>4.0673896086726602</v>
      </c>
    </row>
    <row r="30" spans="2:14" ht="15.75" thickBot="1" x14ac:dyDescent="0.3">
      <c r="C30" s="75" t="s">
        <v>158</v>
      </c>
      <c r="D30" s="76">
        <f>D10</f>
        <v>204</v>
      </c>
      <c r="E30" s="72">
        <f>($F$24*$D30-($H$14+$H$15*$D30)+($H$18+$H$19*E$27))/E$27</f>
        <v>178.51657786885244</v>
      </c>
      <c r="F30" s="72">
        <f t="shared" si="0"/>
        <v>146.81326229508196</v>
      </c>
      <c r="G30" s="72">
        <f t="shared" si="0"/>
        <v>125.67771857923496</v>
      </c>
      <c r="J30" s="75" t="s">
        <v>157</v>
      </c>
      <c r="K30" s="77">
        <f>L10</f>
        <v>5.1599999999999993</v>
      </c>
      <c r="L30" s="104">
        <f>(($K30*$M$24-($H$14+$H$15*$M$24))+$H$18)/(L$27-$H$19)</f>
        <v>8.5599514667817065</v>
      </c>
      <c r="M30" s="105">
        <f t="shared" si="1"/>
        <v>6.5055631147540973</v>
      </c>
      <c r="N30" s="106">
        <f t="shared" si="1"/>
        <v>5.2464218667371751</v>
      </c>
    </row>
    <row r="31" spans="2:14" ht="13.5" thickTop="1" x14ac:dyDescent="0.2"/>
    <row r="32" spans="2:14" x14ac:dyDescent="0.2">
      <c r="D32" s="107">
        <f>D34</f>
        <v>4</v>
      </c>
      <c r="E32" s="107">
        <f>E34</f>
        <v>5</v>
      </c>
    </row>
    <row r="33" spans="3:10" ht="64.5" x14ac:dyDescent="0.25">
      <c r="C33" s="78" t="s">
        <v>163</v>
      </c>
      <c r="D33" s="79" t="s">
        <v>193</v>
      </c>
      <c r="E33" s="79" t="s">
        <v>193</v>
      </c>
      <c r="F33" s="79"/>
      <c r="J33" s="58"/>
    </row>
    <row r="34" spans="3:10" ht="15" x14ac:dyDescent="0.25">
      <c r="C34" s="78"/>
      <c r="D34" s="108">
        <v>4</v>
      </c>
      <c r="E34" s="108">
        <v>5</v>
      </c>
      <c r="F34" s="79"/>
      <c r="G34" s="109" t="s">
        <v>166</v>
      </c>
      <c r="J34" s="58"/>
    </row>
    <row r="35" spans="3:10" ht="15" x14ac:dyDescent="0.25">
      <c r="C35" s="80">
        <v>3</v>
      </c>
      <c r="D35" s="81">
        <f t="shared" ref="D35:D45" si="2">(($G$35*$C35-($H$14+$H$15*$G$35)+($H$18+$H$19*$D$34))/$D$34)</f>
        <v>90.83907786885247</v>
      </c>
      <c r="E35" s="81">
        <f t="shared" ref="E35:E45" si="3">(($G$35*$C35-($H$14+$H$15*$G$35)+($H$18+$H$19*$E$34))/$E$34)</f>
        <v>76.671262295081974</v>
      </c>
      <c r="G35" s="92">
        <f>M24</f>
        <v>170</v>
      </c>
    </row>
    <row r="36" spans="3:10" ht="15" x14ac:dyDescent="0.25">
      <c r="C36" s="83">
        <f>C35+0.25</f>
        <v>3.25</v>
      </c>
      <c r="D36" s="81">
        <f t="shared" si="2"/>
        <v>101.46407786885247</v>
      </c>
      <c r="E36" s="81">
        <f t="shared" si="3"/>
        <v>85.171262295081974</v>
      </c>
      <c r="F36" s="82"/>
    </row>
    <row r="37" spans="3:10" ht="15" x14ac:dyDescent="0.25">
      <c r="C37" s="83">
        <f t="shared" ref="C37:C45" si="4">C36+0.25</f>
        <v>3.5</v>
      </c>
      <c r="D37" s="81">
        <f t="shared" si="2"/>
        <v>112.08907786885247</v>
      </c>
      <c r="E37" s="81">
        <f t="shared" si="3"/>
        <v>93.671262295081974</v>
      </c>
      <c r="F37" s="82"/>
    </row>
    <row r="38" spans="3:10" ht="15" x14ac:dyDescent="0.25">
      <c r="C38" s="83">
        <f t="shared" si="4"/>
        <v>3.75</v>
      </c>
      <c r="D38" s="81">
        <f t="shared" si="2"/>
        <v>122.71407786885247</v>
      </c>
      <c r="E38" s="81">
        <f t="shared" si="3"/>
        <v>102.17126229508197</v>
      </c>
      <c r="F38" s="82"/>
    </row>
    <row r="39" spans="3:10" ht="15" x14ac:dyDescent="0.25">
      <c r="C39" s="83">
        <f t="shared" si="4"/>
        <v>4</v>
      </c>
      <c r="D39" s="81">
        <f t="shared" si="2"/>
        <v>133.33907786885248</v>
      </c>
      <c r="E39" s="81">
        <f t="shared" si="3"/>
        <v>110.67126229508199</v>
      </c>
      <c r="F39" s="82"/>
    </row>
    <row r="40" spans="3:10" ht="15" x14ac:dyDescent="0.25">
      <c r="C40" s="83">
        <f t="shared" si="4"/>
        <v>4.25</v>
      </c>
      <c r="D40" s="81">
        <f t="shared" si="2"/>
        <v>143.96407786885248</v>
      </c>
      <c r="E40" s="81">
        <f t="shared" si="3"/>
        <v>119.17126229508199</v>
      </c>
      <c r="F40" s="82"/>
    </row>
    <row r="41" spans="3:10" ht="15" x14ac:dyDescent="0.25">
      <c r="C41" s="83">
        <f t="shared" si="4"/>
        <v>4.5</v>
      </c>
      <c r="D41" s="81">
        <f t="shared" si="2"/>
        <v>154.58907786885248</v>
      </c>
      <c r="E41" s="81">
        <f t="shared" si="3"/>
        <v>127.67126229508199</v>
      </c>
      <c r="F41" s="82"/>
    </row>
    <row r="42" spans="3:10" ht="15" x14ac:dyDescent="0.25">
      <c r="C42" s="83">
        <f t="shared" si="4"/>
        <v>4.75</v>
      </c>
      <c r="D42" s="81">
        <f t="shared" si="2"/>
        <v>165.21407786885248</v>
      </c>
      <c r="E42" s="81">
        <f t="shared" si="3"/>
        <v>136.17126229508199</v>
      </c>
      <c r="F42" s="82"/>
    </row>
    <row r="43" spans="3:10" ht="15" x14ac:dyDescent="0.25">
      <c r="C43" s="83">
        <f t="shared" si="4"/>
        <v>5</v>
      </c>
      <c r="D43" s="81">
        <f t="shared" si="2"/>
        <v>175.83907786885248</v>
      </c>
      <c r="E43" s="81">
        <f t="shared" si="3"/>
        <v>144.67126229508199</v>
      </c>
      <c r="F43" s="82"/>
    </row>
    <row r="44" spans="3:10" ht="15" x14ac:dyDescent="0.25">
      <c r="C44" s="83">
        <f t="shared" si="4"/>
        <v>5.25</v>
      </c>
      <c r="D44" s="81">
        <f t="shared" si="2"/>
        <v>186.46407786885248</v>
      </c>
      <c r="E44" s="81">
        <f t="shared" si="3"/>
        <v>153.17126229508199</v>
      </c>
      <c r="F44" s="82"/>
    </row>
    <row r="45" spans="3:10" ht="15" x14ac:dyDescent="0.25">
      <c r="C45" s="83">
        <f t="shared" si="4"/>
        <v>5.5</v>
      </c>
      <c r="D45" s="81">
        <f t="shared" si="2"/>
        <v>197.08907786885248</v>
      </c>
      <c r="E45" s="81">
        <f t="shared" si="3"/>
        <v>161.67126229508199</v>
      </c>
      <c r="F45" s="82"/>
    </row>
    <row r="46" spans="3:10" ht="15" x14ac:dyDescent="0.25">
      <c r="C46" s="87"/>
      <c r="D46" s="81"/>
    </row>
    <row r="47" spans="3:10" ht="15" x14ac:dyDescent="0.25">
      <c r="C47" s="87"/>
      <c r="D47" s="81"/>
    </row>
    <row r="48" spans="3:10" ht="15" x14ac:dyDescent="0.25">
      <c r="C48" s="87"/>
      <c r="D48" s="81"/>
    </row>
    <row r="50" spans="4:4" x14ac:dyDescent="0.2">
      <c r="D50" s="81"/>
    </row>
    <row r="51" spans="4:4" x14ac:dyDescent="0.2">
      <c r="D51" s="81"/>
    </row>
    <row r="52" spans="4:4" x14ac:dyDescent="0.2">
      <c r="D52" s="81"/>
    </row>
  </sheetData>
  <sheetProtection sheet="1"/>
  <phoneticPr fontId="0" type="noConversion"/>
  <pageMargins left="0.75" right="0.75" top="1" bottom="1" header="0.5" footer="0.5"/>
  <headerFooter alignWithMargins="0"/>
  <drawing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Title</vt:lpstr>
      <vt:lpstr>Income Statement</vt:lpstr>
      <vt:lpstr>Cost of Production</vt:lpstr>
      <vt:lpstr>Corn-Soys</vt:lpstr>
      <vt:lpstr>Alfalfa-Corn</vt:lpstr>
      <vt:lpstr>Alfalfa_price____Ton__for_4_Ton</vt:lpstr>
      <vt:lpstr>Alfalfa_price____Ton__for_5_Ton</vt:lpstr>
      <vt:lpstr>'Cost of Production'!Print_Area</vt:lpstr>
      <vt:lpstr>'Income Statement'!Print_Area</vt:lpstr>
    </vt:vector>
  </TitlesOfParts>
  <Company>MSU EXTENSION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Roger A. Betz</dc:creator>
  <cp:lastModifiedBy>Karlie VanPoppelan</cp:lastModifiedBy>
  <cp:lastPrinted>2014-01-29T05:13:30Z</cp:lastPrinted>
  <dcterms:created xsi:type="dcterms:W3CDTF">2001-01-08T02:30:23Z</dcterms:created>
  <dcterms:modified xsi:type="dcterms:W3CDTF">2015-05-19T15:10:00Z</dcterms:modified>
</cp:coreProperties>
</file>